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ма\Продукти\Кредит під заставу майна\На сайт Кредит під заставу майна\Калькулятор ТЗ\на сайт\"/>
    </mc:Choice>
  </mc:AlternateContent>
  <xr:revisionPtr revIDLastSave="0" documentId="13_ncr:1_{D727D78C-D08D-4C8D-8C79-3484528E731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81029"/>
</workbook>
</file>

<file path=xl/calcChain.xml><?xml version="1.0" encoding="utf-8"?>
<calcChain xmlns="http://schemas.openxmlformats.org/spreadsheetml/2006/main">
  <c r="W37" i="1" l="1"/>
  <c r="W277" i="1" l="1"/>
  <c r="J20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22" i="1" l="1"/>
  <c r="J12" i="2" l="1"/>
  <c r="J13" i="2" l="1"/>
  <c r="J18" i="2" s="1"/>
  <c r="J11" i="2"/>
  <c r="J16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4" i="2" l="1"/>
  <c r="O34" i="2" s="1"/>
  <c r="J19" i="2"/>
  <c r="F35" i="2"/>
  <c r="F36" i="2"/>
  <c r="E37" i="2"/>
  <c r="F37" i="2" s="1"/>
  <c r="C38" i="2"/>
  <c r="O275" i="2" l="1"/>
  <c r="O25" i="2"/>
  <c r="U34" i="2"/>
  <c r="L34" i="2" s="1"/>
  <c r="G34" i="2" s="1"/>
  <c r="J20" i="2"/>
  <c r="D39" i="2"/>
  <c r="C39" i="2"/>
  <c r="E38" i="2"/>
  <c r="F38" i="2" s="1"/>
  <c r="S36" i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J16" i="1"/>
  <c r="O36" i="1" s="1"/>
  <c r="J18" i="1"/>
  <c r="J21" i="1"/>
  <c r="V36" i="1"/>
  <c r="O27" i="1" l="1"/>
  <c r="U36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U46" i="2" l="1"/>
  <c r="D52" i="2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L46" i="2" l="1"/>
  <c r="D54" i="2"/>
  <c r="C54" i="2"/>
  <c r="E53" i="2"/>
  <c r="F53" i="2" s="1"/>
  <c r="C53" i="1"/>
  <c r="D53" i="1"/>
  <c r="E52" i="1"/>
  <c r="F52" i="1" s="1"/>
  <c r="G46" i="2" l="1"/>
  <c r="W50" i="2" s="1"/>
  <c r="D55" i="2"/>
  <c r="C55" i="2"/>
  <c r="E54" i="2"/>
  <c r="F54" i="2" s="1"/>
  <c r="E53" i="1"/>
  <c r="F53" i="1" s="1"/>
  <c r="C54" i="1"/>
  <c r="D54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55" i="1"/>
  <c r="D55" i="1"/>
  <c r="E54" i="1"/>
  <c r="F54" i="1" s="1"/>
  <c r="D57" i="2" l="1"/>
  <c r="C57" i="2"/>
  <c r="W57" i="2" s="1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U58" i="2" l="1"/>
  <c r="C65" i="2"/>
  <c r="E64" i="2"/>
  <c r="F64" i="2" s="1"/>
  <c r="D65" i="2"/>
  <c r="E63" i="1"/>
  <c r="F63" i="1" s="1"/>
  <c r="C64" i="1"/>
  <c r="D64" i="1"/>
  <c r="L58" i="2" l="1"/>
  <c r="C66" i="2"/>
  <c r="E65" i="2"/>
  <c r="F65" i="2" s="1"/>
  <c r="D66" i="2"/>
  <c r="C65" i="1"/>
  <c r="D65" i="1"/>
  <c r="E64" i="1"/>
  <c r="F64" i="1" s="1"/>
  <c r="G58" i="2" l="1"/>
  <c r="W61" i="2" s="1"/>
  <c r="W59" i="2"/>
  <c r="C67" i="2"/>
  <c r="E66" i="2"/>
  <c r="F66" i="2" s="1"/>
  <c r="D67" i="2"/>
  <c r="E65" i="1"/>
  <c r="F65" i="1" s="1"/>
  <c r="C66" i="1"/>
  <c r="D66" i="1"/>
  <c r="W63" i="2" l="1"/>
  <c r="W62" i="2"/>
  <c r="W58" i="2"/>
  <c r="W67" i="2"/>
  <c r="W64" i="2"/>
  <c r="W60" i="2"/>
  <c r="W66" i="2"/>
  <c r="W65" i="2"/>
  <c r="C68" i="2"/>
  <c r="W68" i="2" s="1"/>
  <c r="E67" i="2"/>
  <c r="F67" i="2" s="1"/>
  <c r="D68" i="2"/>
  <c r="C67" i="1"/>
  <c r="D67" i="1"/>
  <c r="E66" i="1"/>
  <c r="F66" i="1" s="1"/>
  <c r="C69" i="2" l="1"/>
  <c r="W69" i="2" s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U70" i="2" l="1"/>
  <c r="D77" i="2"/>
  <c r="C77" i="2"/>
  <c r="E76" i="2"/>
  <c r="F76" i="2" s="1"/>
  <c r="E75" i="1"/>
  <c r="F75" i="1" s="1"/>
  <c r="C76" i="1"/>
  <c r="D76" i="1"/>
  <c r="L70" i="2" l="1"/>
  <c r="D78" i="2"/>
  <c r="C78" i="2"/>
  <c r="E77" i="2"/>
  <c r="F77" i="2" s="1"/>
  <c r="D77" i="1"/>
  <c r="E76" i="1"/>
  <c r="F76" i="1" s="1"/>
  <c r="G70" i="2" l="1"/>
  <c r="W73" i="2" s="1"/>
  <c r="W70" i="2"/>
  <c r="W74" i="2"/>
  <c r="W71" i="2"/>
  <c r="W75" i="2"/>
  <c r="D79" i="2"/>
  <c r="C79" i="2"/>
  <c r="E78" i="2"/>
  <c r="F78" i="2" s="1"/>
  <c r="W79" i="2" l="1"/>
  <c r="W76" i="2"/>
  <c r="W72" i="2"/>
  <c r="W78" i="2"/>
  <c r="W77" i="2"/>
  <c r="D80" i="2"/>
  <c r="C80" i="2"/>
  <c r="W80" i="2" s="1"/>
  <c r="E79" i="2"/>
  <c r="F79" i="2" s="1"/>
  <c r="C77" i="1"/>
  <c r="D81" i="2" l="1"/>
  <c r="C81" i="2"/>
  <c r="W81" i="2" s="1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U82" i="2" l="1"/>
  <c r="C89" i="2"/>
  <c r="E88" i="2"/>
  <c r="F88" i="2" s="1"/>
  <c r="D89" i="2"/>
  <c r="I42" i="1"/>
  <c r="K42" i="1"/>
  <c r="G42" i="1" s="1"/>
  <c r="C86" i="1"/>
  <c r="E85" i="1"/>
  <c r="F85" i="1" s="1"/>
  <c r="D86" i="1"/>
  <c r="L82" i="2" l="1"/>
  <c r="C90" i="2"/>
  <c r="E89" i="2"/>
  <c r="F89" i="2" s="1"/>
  <c r="D90" i="2"/>
  <c r="K43" i="1"/>
  <c r="G43" i="1" s="1"/>
  <c r="I43" i="1"/>
  <c r="C87" i="1"/>
  <c r="D87" i="1"/>
  <c r="E86" i="1"/>
  <c r="F86" i="1" s="1"/>
  <c r="G82" i="2" l="1"/>
  <c r="W85" i="2" s="1"/>
  <c r="W87" i="2"/>
  <c r="C91" i="2"/>
  <c r="E90" i="2"/>
  <c r="F90" i="2" s="1"/>
  <c r="D91" i="2"/>
  <c r="K44" i="1"/>
  <c r="G44" i="1" s="1"/>
  <c r="I44" i="1"/>
  <c r="C88" i="1"/>
  <c r="E87" i="1"/>
  <c r="F87" i="1" s="1"/>
  <c r="D88" i="1"/>
  <c r="W86" i="2" l="1"/>
  <c r="W91" i="2"/>
  <c r="W83" i="2"/>
  <c r="W82" i="2"/>
  <c r="W88" i="2"/>
  <c r="W84" i="2"/>
  <c r="W90" i="2"/>
  <c r="W89" i="2"/>
  <c r="C92" i="2"/>
  <c r="W92" i="2" s="1"/>
  <c r="E91" i="2"/>
  <c r="F91" i="2" s="1"/>
  <c r="D92" i="2"/>
  <c r="K45" i="1"/>
  <c r="G45" i="1" s="1"/>
  <c r="I45" i="1"/>
  <c r="C89" i="1"/>
  <c r="D89" i="1"/>
  <c r="E88" i="1"/>
  <c r="F88" i="1" s="1"/>
  <c r="C93" i="2" l="1"/>
  <c r="W93" i="2" s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U48" i="1" s="1"/>
  <c r="C92" i="1"/>
  <c r="E91" i="1"/>
  <c r="F91" i="1" s="1"/>
  <c r="D92" i="1"/>
  <c r="D96" i="2" l="1"/>
  <c r="C96" i="2"/>
  <c r="E95" i="2"/>
  <c r="F95" i="2" s="1"/>
  <c r="L48" i="1"/>
  <c r="K49" i="1"/>
  <c r="G49" i="1" s="1"/>
  <c r="I49" i="1"/>
  <c r="C93" i="1"/>
  <c r="D93" i="1"/>
  <c r="E92" i="1"/>
  <c r="F92" i="1" s="1"/>
  <c r="D97" i="2" l="1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U94" i="2" l="1"/>
  <c r="L94" i="2" s="1"/>
  <c r="D101" i="2"/>
  <c r="C101" i="2"/>
  <c r="E100" i="2"/>
  <c r="F100" i="2" s="1"/>
  <c r="K54" i="1"/>
  <c r="G54" i="1" s="1"/>
  <c r="I54" i="1"/>
  <c r="E97" i="1"/>
  <c r="F97" i="1" s="1"/>
  <c r="D98" i="1"/>
  <c r="C98" i="1"/>
  <c r="G94" i="2" l="1"/>
  <c r="W97" i="2"/>
  <c r="W94" i="2"/>
  <c r="W101" i="2"/>
  <c r="W98" i="2"/>
  <c r="W95" i="2"/>
  <c r="W96" i="2"/>
  <c r="W99" i="2"/>
  <c r="W100" i="2"/>
  <c r="D102" i="2"/>
  <c r="C102" i="2"/>
  <c r="E101" i="2"/>
  <c r="F101" i="2" s="1"/>
  <c r="K55" i="1"/>
  <c r="G55" i="1" s="1"/>
  <c r="I55" i="1"/>
  <c r="D99" i="1"/>
  <c r="E98" i="1"/>
  <c r="F98" i="1" s="1"/>
  <c r="C99" i="1"/>
  <c r="W102" i="2" l="1"/>
  <c r="D103" i="2"/>
  <c r="C103" i="2"/>
  <c r="W103" i="2" s="1"/>
  <c r="E102" i="2"/>
  <c r="F102" i="2" s="1"/>
  <c r="K56" i="1"/>
  <c r="G56" i="1" s="1"/>
  <c r="I56" i="1"/>
  <c r="E99" i="1"/>
  <c r="F99" i="1" s="1"/>
  <c r="D100" i="1"/>
  <c r="C100" i="1"/>
  <c r="C104" i="2" l="1"/>
  <c r="W104" i="2" s="1"/>
  <c r="D104" i="2"/>
  <c r="E103" i="2"/>
  <c r="F103" i="2" s="1"/>
  <c r="K57" i="1"/>
  <c r="G57" i="1" s="1"/>
  <c r="I57" i="1"/>
  <c r="D101" i="1"/>
  <c r="E100" i="1"/>
  <c r="F100" i="1" s="1"/>
  <c r="C101" i="1"/>
  <c r="C105" i="2" l="1"/>
  <c r="W105" i="2" s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U60" i="1" s="1"/>
  <c r="E103" i="1"/>
  <c r="F103" i="1" s="1"/>
  <c r="D104" i="1"/>
  <c r="C104" i="1"/>
  <c r="D108" i="2" l="1"/>
  <c r="C108" i="2"/>
  <c r="E107" i="2"/>
  <c r="F107" i="2" s="1"/>
  <c r="L60" i="1"/>
  <c r="K61" i="1"/>
  <c r="G61" i="1" s="1"/>
  <c r="I61" i="1"/>
  <c r="D105" i="1"/>
  <c r="E104" i="1"/>
  <c r="F104" i="1" s="1"/>
  <c r="C105" i="1"/>
  <c r="D109" i="2" l="1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U106" i="2" l="1"/>
  <c r="L106" i="2" s="1"/>
  <c r="D113" i="2"/>
  <c r="C113" i="2"/>
  <c r="E112" i="2"/>
  <c r="F112" i="2" s="1"/>
  <c r="K66" i="1"/>
  <c r="G66" i="1" s="1"/>
  <c r="I66" i="1"/>
  <c r="E109" i="1"/>
  <c r="F109" i="1" s="1"/>
  <c r="D110" i="1"/>
  <c r="C110" i="1"/>
  <c r="G106" i="2" l="1"/>
  <c r="W113" i="2" s="1"/>
  <c r="W111" i="2"/>
  <c r="D114" i="2"/>
  <c r="C114" i="2"/>
  <c r="W114" i="2" s="1"/>
  <c r="E113" i="2"/>
  <c r="F113" i="2" s="1"/>
  <c r="K67" i="1"/>
  <c r="G67" i="1" s="1"/>
  <c r="I67" i="1"/>
  <c r="E110" i="1"/>
  <c r="F110" i="1" s="1"/>
  <c r="D111" i="1"/>
  <c r="C111" i="1"/>
  <c r="W112" i="2" l="1"/>
  <c r="W107" i="2"/>
  <c r="W108" i="2"/>
  <c r="W110" i="2"/>
  <c r="W106" i="2"/>
  <c r="W109" i="2"/>
  <c r="D115" i="2"/>
  <c r="C115" i="2"/>
  <c r="W115" i="2" s="1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W116" i="2" l="1"/>
  <c r="D117" i="2"/>
  <c r="C117" i="2"/>
  <c r="W117" i="2" s="1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U72" i="1" s="1"/>
  <c r="D116" i="1"/>
  <c r="E115" i="1"/>
  <c r="F115" i="1" s="1"/>
  <c r="C116" i="1"/>
  <c r="C120" i="2" l="1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C121" i="2" l="1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U118" i="2" l="1"/>
  <c r="L118" i="2" s="1"/>
  <c r="G118" i="2" s="1"/>
  <c r="C125" i="2"/>
  <c r="E124" i="2"/>
  <c r="F124" i="2" s="1"/>
  <c r="D125" i="2"/>
  <c r="K78" i="1"/>
  <c r="G78" i="1" s="1"/>
  <c r="I78" i="1"/>
  <c r="E121" i="1"/>
  <c r="F121" i="1" s="1"/>
  <c r="D122" i="1"/>
  <c r="C122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79" i="1"/>
  <c r="G79" i="1" s="1"/>
  <c r="I79" i="1"/>
  <c r="E122" i="1"/>
  <c r="F122" i="1" s="1"/>
  <c r="D123" i="1"/>
  <c r="C123" i="1"/>
  <c r="C127" i="2" l="1"/>
  <c r="W127" i="2" s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W128" i="2" l="1"/>
  <c r="C129" i="2"/>
  <c r="W129" i="2" s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U84" i="1" s="1"/>
  <c r="D128" i="1"/>
  <c r="E127" i="1"/>
  <c r="F127" i="1" s="1"/>
  <c r="C128" i="1"/>
  <c r="D132" i="2" l="1"/>
  <c r="C132" i="2"/>
  <c r="E131" i="2"/>
  <c r="F131" i="2" s="1"/>
  <c r="L84" i="1"/>
  <c r="K85" i="1"/>
  <c r="G85" i="1" s="1"/>
  <c r="I85" i="1"/>
  <c r="E128" i="1"/>
  <c r="F128" i="1" s="1"/>
  <c r="D129" i="1"/>
  <c r="C129" i="1"/>
  <c r="D133" i="2" l="1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U130" i="2" l="1"/>
  <c r="L130" i="2" s="1"/>
  <c r="G130" i="2" s="1"/>
  <c r="D137" i="2"/>
  <c r="C137" i="2"/>
  <c r="E136" i="2"/>
  <c r="F136" i="2" s="1"/>
  <c r="K90" i="1"/>
  <c r="G90" i="1" s="1"/>
  <c r="I90" i="1"/>
  <c r="E133" i="1"/>
  <c r="F133" i="1" s="1"/>
  <c r="D134" i="1"/>
  <c r="C134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1" i="1"/>
  <c r="G91" i="1" s="1"/>
  <c r="I91" i="1"/>
  <c r="E134" i="1"/>
  <c r="F134" i="1" s="1"/>
  <c r="D135" i="1"/>
  <c r="C135" i="1"/>
  <c r="D139" i="2" l="1"/>
  <c r="C139" i="2"/>
  <c r="W139" i="2" s="1"/>
  <c r="E138" i="2"/>
  <c r="F138" i="2" s="1"/>
  <c r="K92" i="1"/>
  <c r="G92" i="1" s="1"/>
  <c r="I92" i="1"/>
  <c r="D136" i="1"/>
  <c r="E135" i="1"/>
  <c r="F135" i="1" s="1"/>
  <c r="C136" i="1"/>
  <c r="D140" i="2" l="1"/>
  <c r="C140" i="2"/>
  <c r="W140" i="2" s="1"/>
  <c r="E139" i="2"/>
  <c r="F139" i="2" s="1"/>
  <c r="K93" i="1"/>
  <c r="G93" i="1" s="1"/>
  <c r="I93" i="1"/>
  <c r="E136" i="1"/>
  <c r="F136" i="1" s="1"/>
  <c r="D137" i="1"/>
  <c r="C137" i="1"/>
  <c r="D141" i="2" l="1"/>
  <c r="C141" i="2"/>
  <c r="W141" i="2" s="1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U142" i="2" l="1"/>
  <c r="L142" i="2" s="1"/>
  <c r="G142" i="2" s="1"/>
  <c r="C149" i="2"/>
  <c r="E148" i="2"/>
  <c r="F148" i="2" s="1"/>
  <c r="D149" i="2"/>
  <c r="E145" i="1"/>
  <c r="F145" i="1" s="1"/>
  <c r="D146" i="1"/>
  <c r="C146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46" i="1"/>
  <c r="F146" i="1" s="1"/>
  <c r="D147" i="1"/>
  <c r="C147" i="1"/>
  <c r="C151" i="2" l="1"/>
  <c r="W151" i="2" s="1"/>
  <c r="E150" i="2"/>
  <c r="F150" i="2" s="1"/>
  <c r="D151" i="2"/>
  <c r="D148" i="1"/>
  <c r="E147" i="1"/>
  <c r="F147" i="1" s="1"/>
  <c r="C148" i="1"/>
  <c r="C152" i="2" l="1"/>
  <c r="W152" i="2" s="1"/>
  <c r="E151" i="2"/>
  <c r="F151" i="2" s="1"/>
  <c r="D152" i="2"/>
  <c r="E148" i="1"/>
  <c r="F148" i="1" s="1"/>
  <c r="D149" i="1"/>
  <c r="C149" i="1"/>
  <c r="C153" i="2" l="1"/>
  <c r="W153" i="2" s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U154" i="2" l="1"/>
  <c r="D161" i="2"/>
  <c r="C161" i="2"/>
  <c r="E160" i="2"/>
  <c r="F160" i="2" s="1"/>
  <c r="D158" i="1"/>
  <c r="E157" i="1"/>
  <c r="F157" i="1" s="1"/>
  <c r="C158" i="1"/>
  <c r="L154" i="2" l="1"/>
  <c r="G154" i="2" s="1"/>
  <c r="D162" i="2"/>
  <c r="E161" i="2"/>
  <c r="F161" i="2" s="1"/>
  <c r="C162" i="2"/>
  <c r="W162" i="2" s="1"/>
  <c r="E158" i="1"/>
  <c r="F158" i="1" s="1"/>
  <c r="D159" i="1"/>
  <c r="C159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W164" i="2" l="1"/>
  <c r="E164" i="2"/>
  <c r="F164" i="2" s="1"/>
  <c r="C165" i="2"/>
  <c r="W165" i="2" s="1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U166" i="2" l="1"/>
  <c r="C173" i="2"/>
  <c r="D173" i="2"/>
  <c r="E172" i="2"/>
  <c r="F172" i="2" s="1"/>
  <c r="D170" i="1"/>
  <c r="E169" i="1"/>
  <c r="F169" i="1" s="1"/>
  <c r="C170" i="1"/>
  <c r="L166" i="2" l="1"/>
  <c r="G166" i="2" s="1"/>
  <c r="D174" i="2"/>
  <c r="E173" i="2"/>
  <c r="F173" i="2" s="1"/>
  <c r="C174" i="2"/>
  <c r="E170" i="1"/>
  <c r="F170" i="1" s="1"/>
  <c r="D171" i="1"/>
  <c r="C171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W176" i="2" s="1"/>
  <c r="E172" i="1"/>
  <c r="F172" i="1" s="1"/>
  <c r="D173" i="1"/>
  <c r="C173" i="1"/>
  <c r="C177" i="2" l="1"/>
  <c r="W177" i="2" s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U178" i="2"/>
  <c r="D182" i="1"/>
  <c r="E181" i="1"/>
  <c r="F181" i="1" s="1"/>
  <c r="C182" i="1"/>
  <c r="L178" i="2" l="1"/>
  <c r="G178" i="2" s="1"/>
  <c r="C186" i="2"/>
  <c r="E185" i="2"/>
  <c r="F185" i="2" s="1"/>
  <c r="D186" i="2"/>
  <c r="E182" i="1"/>
  <c r="F182" i="1" s="1"/>
  <c r="D183" i="1"/>
  <c r="C183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84" i="1"/>
  <c r="E183" i="1"/>
  <c r="F183" i="1" s="1"/>
  <c r="C184" i="1"/>
  <c r="C188" i="2" l="1"/>
  <c r="W188" i="2" s="1"/>
  <c r="E187" i="2"/>
  <c r="F187" i="2" s="1"/>
  <c r="D188" i="2"/>
  <c r="E184" i="1"/>
  <c r="F184" i="1" s="1"/>
  <c r="D185" i="1"/>
  <c r="C185" i="1"/>
  <c r="W189" i="2" l="1"/>
  <c r="D189" i="2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U190" i="2" l="1"/>
  <c r="C197" i="2"/>
  <c r="D197" i="2"/>
  <c r="E196" i="2"/>
  <c r="F196" i="2" s="1"/>
  <c r="D194" i="1"/>
  <c r="E193" i="1"/>
  <c r="F193" i="1" s="1"/>
  <c r="C194" i="1"/>
  <c r="L190" i="2" l="1"/>
  <c r="G190" i="2" s="1"/>
  <c r="D198" i="2"/>
  <c r="E197" i="2"/>
  <c r="F197" i="2" s="1"/>
  <c r="C198" i="2"/>
  <c r="E194" i="1"/>
  <c r="F194" i="1" s="1"/>
  <c r="D195" i="1"/>
  <c r="C195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W200" i="2" l="1"/>
  <c r="C201" i="2"/>
  <c r="W201" i="2" s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U202" i="2"/>
  <c r="D206" i="1"/>
  <c r="E205" i="1"/>
  <c r="F205" i="1" s="1"/>
  <c r="C206" i="1"/>
  <c r="L202" i="2" l="1"/>
  <c r="G202" i="2" s="1"/>
  <c r="C210" i="2"/>
  <c r="E209" i="2"/>
  <c r="F209" i="2" s="1"/>
  <c r="D210" i="2"/>
  <c r="E206" i="1"/>
  <c r="F206" i="1" s="1"/>
  <c r="D207" i="1"/>
  <c r="C207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08" i="1"/>
  <c r="E207" i="1"/>
  <c r="F207" i="1" s="1"/>
  <c r="C208" i="1"/>
  <c r="C212" i="2" l="1"/>
  <c r="W212" i="2" s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W213" i="2" s="1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U214" i="2" l="1"/>
  <c r="C221" i="2"/>
  <c r="D221" i="2"/>
  <c r="E220" i="2"/>
  <c r="F220" i="2" s="1"/>
  <c r="D218" i="1"/>
  <c r="E217" i="1"/>
  <c r="F217" i="1" s="1"/>
  <c r="C218" i="1"/>
  <c r="L214" i="2" l="1"/>
  <c r="G214" i="2" s="1"/>
  <c r="D222" i="2"/>
  <c r="E221" i="2"/>
  <c r="F221" i="2" s="1"/>
  <c r="C222" i="2"/>
  <c r="W222" i="2" s="1"/>
  <c r="E218" i="1"/>
  <c r="F218" i="1" s="1"/>
  <c r="D219" i="1"/>
  <c r="C219" i="1"/>
  <c r="W216" i="2" l="1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W224" i="2" l="1"/>
  <c r="C225" i="2"/>
  <c r="W225" i="2" s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U226" i="2"/>
  <c r="D230" i="1"/>
  <c r="E229" i="1"/>
  <c r="F229" i="1" s="1"/>
  <c r="C230" i="1"/>
  <c r="L226" i="2" l="1"/>
  <c r="G226" i="2" s="1"/>
  <c r="C234" i="2"/>
  <c r="E233" i="2"/>
  <c r="F233" i="2" s="1"/>
  <c r="D234" i="2"/>
  <c r="E230" i="1"/>
  <c r="F230" i="1" s="1"/>
  <c r="D231" i="1"/>
  <c r="C231" i="1"/>
  <c r="W234" i="2" l="1"/>
  <c r="W230" i="2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W236" i="2" l="1"/>
  <c r="D237" i="2"/>
  <c r="E236" i="2"/>
  <c r="F236" i="2" s="1"/>
  <c r="C237" i="2"/>
  <c r="W237" i="2" s="1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U238" i="2" l="1"/>
  <c r="C245" i="2"/>
  <c r="D245" i="2"/>
  <c r="E244" i="2"/>
  <c r="F244" i="2" s="1"/>
  <c r="D242" i="1"/>
  <c r="E241" i="1"/>
  <c r="F241" i="1" s="1"/>
  <c r="C242" i="1"/>
  <c r="L238" i="2" l="1"/>
  <c r="G238" i="2" s="1"/>
  <c r="D246" i="2"/>
  <c r="E245" i="2"/>
  <c r="F245" i="2" s="1"/>
  <c r="C246" i="2"/>
  <c r="E242" i="1"/>
  <c r="F242" i="1" s="1"/>
  <c r="D243" i="1"/>
  <c r="C243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W248" i="2" s="1"/>
  <c r="E244" i="1"/>
  <c r="F244" i="1" s="1"/>
  <c r="D245" i="1"/>
  <c r="C245" i="1"/>
  <c r="C249" i="2" l="1"/>
  <c r="W249" i="2" s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U250" i="2"/>
  <c r="D254" i="1"/>
  <c r="E253" i="1"/>
  <c r="F253" i="1" s="1"/>
  <c r="C254" i="1"/>
  <c r="L250" i="2" l="1"/>
  <c r="G250" i="2" s="1"/>
  <c r="D258" i="2"/>
  <c r="E257" i="2"/>
  <c r="F257" i="2" s="1"/>
  <c r="C258" i="2"/>
  <c r="W258" i="2" s="1"/>
  <c r="E254" i="1"/>
  <c r="F254" i="1" s="1"/>
  <c r="D255" i="1"/>
  <c r="C255" i="1"/>
  <c r="W253" i="2" l="1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W260" i="2" s="1"/>
  <c r="E256" i="1"/>
  <c r="F256" i="1" s="1"/>
  <c r="D257" i="1"/>
  <c r="C257" i="1"/>
  <c r="C261" i="2" l="1"/>
  <c r="W261" i="2" s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U262" i="2" l="1"/>
  <c r="D269" i="2"/>
  <c r="E268" i="2"/>
  <c r="F268" i="2" s="1"/>
  <c r="C269" i="2"/>
  <c r="D266" i="1"/>
  <c r="E265" i="1"/>
  <c r="F265" i="1" s="1"/>
  <c r="C266" i="1"/>
  <c r="L262" i="2" l="1"/>
  <c r="C270" i="2"/>
  <c r="D270" i="2"/>
  <c r="E269" i="2"/>
  <c r="F269" i="2" s="1"/>
  <c r="U275" i="2"/>
  <c r="E266" i="1"/>
  <c r="F266" i="1" s="1"/>
  <c r="D267" i="1"/>
  <c r="C267" i="1"/>
  <c r="W270" i="2" l="1"/>
  <c r="G262" i="2"/>
  <c r="W265" i="2" s="1"/>
  <c r="L275" i="2"/>
  <c r="X275" i="2" s="1"/>
  <c r="O26" i="2" s="1"/>
  <c r="W269" i="2"/>
  <c r="W264" i="2"/>
  <c r="W268" i="2"/>
  <c r="W262" i="2"/>
  <c r="W263" i="2"/>
  <c r="W266" i="2"/>
  <c r="W267" i="2"/>
  <c r="G275" i="2"/>
  <c r="D271" i="2"/>
  <c r="E270" i="2"/>
  <c r="F270" i="2" s="1"/>
  <c r="C271" i="2"/>
  <c r="W271" i="2" s="1"/>
  <c r="D268" i="1"/>
  <c r="E267" i="1"/>
  <c r="F267" i="1" s="1"/>
  <c r="C268" i="1"/>
  <c r="C272" i="2" l="1"/>
  <c r="D272" i="2"/>
  <c r="E271" i="2"/>
  <c r="F271" i="2" s="1"/>
  <c r="E268" i="1"/>
  <c r="F268" i="1" s="1"/>
  <c r="D269" i="1"/>
  <c r="C269" i="1"/>
  <c r="W272" i="2" l="1"/>
  <c r="D273" i="2"/>
  <c r="E272" i="2"/>
  <c r="F272" i="2" s="1"/>
  <c r="C273" i="2"/>
  <c r="W273" i="2" s="1"/>
  <c r="D270" i="1"/>
  <c r="E269" i="1"/>
  <c r="F269" i="1" s="1"/>
  <c r="C270" i="1"/>
  <c r="C274" i="2" l="1"/>
  <c r="W274" i="2" s="1"/>
  <c r="D274" i="2"/>
  <c r="E273" i="2"/>
  <c r="F273" i="2" s="1"/>
  <c r="E270" i="1"/>
  <c r="F270" i="1" s="1"/>
  <c r="D271" i="1"/>
  <c r="C271" i="1"/>
  <c r="E274" i="2" l="1"/>
  <c r="F274" i="2" s="1"/>
  <c r="W275" i="2"/>
  <c r="O2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Y275" i="2" l="1"/>
  <c r="O27" i="2" s="1"/>
  <c r="O277" i="1"/>
  <c r="L36" i="1"/>
  <c r="G36" i="1" l="1"/>
  <c r="W40" i="1" l="1"/>
  <c r="W38" i="1"/>
  <c r="W39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s="1"/>
  <c r="L96" i="1" l="1"/>
  <c r="K97" i="1"/>
  <c r="I97" i="1"/>
  <c r="K98" i="1" l="1"/>
  <c r="G98" i="1" s="1"/>
  <c r="I98" i="1"/>
  <c r="G97" i="1"/>
  <c r="W97" i="1" s="1"/>
  <c r="G96" i="1"/>
  <c r="W96" i="1" l="1"/>
  <c r="W98" i="1"/>
  <c r="K99" i="1"/>
  <c r="I99" i="1"/>
  <c r="K100" i="1" l="1"/>
  <c r="G100" i="1" s="1"/>
  <c r="I100" i="1"/>
  <c r="G99" i="1"/>
  <c r="W99" i="1" l="1"/>
  <c r="W100" i="1"/>
  <c r="K101" i="1"/>
  <c r="I101" i="1"/>
  <c r="K102" i="1" l="1"/>
  <c r="G101" i="1"/>
  <c r="I102" i="1"/>
  <c r="G102" i="1"/>
  <c r="W101" i="1" l="1"/>
  <c r="W102" i="1"/>
  <c r="K103" i="1"/>
  <c r="I103" i="1"/>
  <c r="K104" i="1" l="1"/>
  <c r="G104" i="1" s="1"/>
  <c r="G103" i="1"/>
  <c r="I104" i="1"/>
  <c r="W104" i="1" l="1"/>
  <c r="W103" i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s="1"/>
  <c r="I109" i="1" l="1"/>
  <c r="I110" i="1" s="1"/>
  <c r="L108" i="1"/>
  <c r="K109" i="1"/>
  <c r="K111" i="1" l="1"/>
  <c r="K110" i="1"/>
  <c r="G110" i="1" s="1"/>
  <c r="I111" i="1"/>
  <c r="G111" i="1"/>
  <c r="G109" i="1"/>
  <c r="K112" i="1" l="1"/>
  <c r="I112" i="1"/>
  <c r="G108" i="1"/>
  <c r="W111" i="1" l="1"/>
  <c r="W108" i="1"/>
  <c r="W110" i="1"/>
  <c r="W109" i="1"/>
  <c r="K113" i="1"/>
  <c r="I113" i="1"/>
  <c r="G113" i="1"/>
  <c r="G112" i="1"/>
  <c r="W113" i="1" l="1"/>
  <c r="W112" i="1"/>
  <c r="K114" i="1"/>
  <c r="I114" i="1"/>
  <c r="K115" i="1" l="1"/>
  <c r="G114" i="1"/>
  <c r="I115" i="1"/>
  <c r="G115" i="1"/>
  <c r="W115" i="1" l="1"/>
  <c r="W114" i="1"/>
  <c r="K116" i="1"/>
  <c r="G116" i="1" s="1"/>
  <c r="I116" i="1"/>
  <c r="W116" i="1" l="1"/>
  <c r="K117" i="1"/>
  <c r="I117" i="1"/>
  <c r="K118" i="1" l="1"/>
  <c r="G118" i="1" s="1"/>
  <c r="G117" i="1"/>
  <c r="I118" i="1"/>
  <c r="W118" i="1" l="1"/>
  <c r="W117" i="1"/>
  <c r="K119" i="1"/>
  <c r="G119" i="1" s="1"/>
  <c r="W119" i="1" s="1"/>
  <c r="I119" i="1"/>
  <c r="K120" i="1" l="1"/>
  <c r="I120" i="1"/>
  <c r="U120" i="1" s="1"/>
  <c r="L120" i="1" l="1"/>
  <c r="K121" i="1"/>
  <c r="G121" i="1" s="1"/>
  <c r="I121" i="1"/>
  <c r="K122" i="1" l="1"/>
  <c r="G122" i="1" s="1"/>
  <c r="I122" i="1"/>
  <c r="K123" i="1" l="1"/>
  <c r="I123" i="1"/>
  <c r="G123" i="1"/>
  <c r="G120" i="1"/>
  <c r="W120" i="1" l="1"/>
  <c r="W121" i="1"/>
  <c r="W123" i="1"/>
  <c r="W122" i="1"/>
  <c r="K124" i="1"/>
  <c r="G124" i="1" s="1"/>
  <c r="I124" i="1"/>
  <c r="W124" i="1" l="1"/>
  <c r="K125" i="1"/>
  <c r="I125" i="1"/>
  <c r="G125" i="1"/>
  <c r="W125" i="1" l="1"/>
  <c r="K126" i="1"/>
  <c r="G126" i="1" s="1"/>
  <c r="I126" i="1"/>
  <c r="W126" i="1" l="1"/>
  <c r="K127" i="1"/>
  <c r="G127" i="1" s="1"/>
  <c r="I127" i="1"/>
  <c r="W127" i="1" l="1"/>
  <c r="K128" i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L132" i="1" l="1"/>
  <c r="K133" i="1"/>
  <c r="G133" i="1" s="1"/>
  <c r="I133" i="1"/>
  <c r="K134" i="1" l="1"/>
  <c r="G134" i="1" s="1"/>
  <c r="I134" i="1"/>
  <c r="K135" i="1" l="1"/>
  <c r="I135" i="1"/>
  <c r="G135" i="1"/>
  <c r="G132" i="1"/>
  <c r="W134" i="1" l="1"/>
  <c r="W133" i="1"/>
  <c r="W132" i="1"/>
  <c r="W135" i="1"/>
  <c r="K136" i="1"/>
  <c r="G136" i="1" s="1"/>
  <c r="I136" i="1"/>
  <c r="W136" i="1" l="1"/>
  <c r="K137" i="1"/>
  <c r="G137" i="1" s="1"/>
  <c r="I137" i="1"/>
  <c r="W137" i="1" l="1"/>
  <c r="K138" i="1"/>
  <c r="G138" i="1" s="1"/>
  <c r="I138" i="1"/>
  <c r="W138" i="1" l="1"/>
  <c r="K139" i="1"/>
  <c r="G139" i="1" s="1"/>
  <c r="I139" i="1"/>
  <c r="W139" i="1" l="1"/>
  <c r="K140" i="1"/>
  <c r="G140" i="1" s="1"/>
  <c r="I140" i="1"/>
  <c r="W140" i="1" l="1"/>
  <c r="K141" i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L144" i="1" l="1"/>
  <c r="K145" i="1"/>
  <c r="G145" i="1" s="1"/>
  <c r="I145" i="1"/>
  <c r="K146" i="1" l="1"/>
  <c r="G146" i="1" s="1"/>
  <c r="I146" i="1"/>
  <c r="K147" i="1" l="1"/>
  <c r="I147" i="1"/>
  <c r="G147" i="1"/>
  <c r="G144" i="1"/>
  <c r="W147" i="1" l="1"/>
  <c r="W145" i="1"/>
  <c r="W144" i="1"/>
  <c r="W146" i="1"/>
  <c r="K148" i="1"/>
  <c r="G148" i="1" s="1"/>
  <c r="I148" i="1"/>
  <c r="W148" i="1" l="1"/>
  <c r="K149" i="1"/>
  <c r="I149" i="1"/>
  <c r="G149" i="1"/>
  <c r="W149" i="1" s="1"/>
  <c r="K150" i="1" l="1"/>
  <c r="G150" i="1" s="1"/>
  <c r="J277" i="1"/>
  <c r="I150" i="1"/>
  <c r="W150" i="1" l="1"/>
  <c r="K151" i="1"/>
  <c r="G151" i="1" s="1"/>
  <c r="W151" i="1" s="1"/>
  <c r="I151" i="1"/>
  <c r="K152" i="1" l="1"/>
  <c r="G152" i="1" s="1"/>
  <c r="W152" i="1" s="1"/>
  <c r="I152" i="1"/>
  <c r="K153" i="1" l="1"/>
  <c r="I153" i="1"/>
  <c r="G153" i="1"/>
  <c r="W153" i="1" l="1"/>
  <c r="K154" i="1"/>
  <c r="G154" i="1" s="1"/>
  <c r="W154" i="1" s="1"/>
  <c r="I154" i="1"/>
  <c r="W155" i="1" l="1"/>
  <c r="K155" i="1"/>
  <c r="G155" i="1" s="1"/>
  <c r="I155" i="1"/>
  <c r="K156" i="1" l="1"/>
  <c r="I156" i="1"/>
  <c r="U156" i="1" s="1"/>
  <c r="L156" i="1" l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8" i="1"/>
  <c r="W157" i="1"/>
  <c r="K160" i="1"/>
  <c r="I160" i="1"/>
  <c r="K161" i="1" l="1"/>
  <c r="G161" i="1" s="1"/>
  <c r="I161" i="1"/>
  <c r="G160" i="1"/>
  <c r="W161" i="1" l="1"/>
  <c r="W160" i="1"/>
  <c r="K162" i="1"/>
  <c r="I162" i="1"/>
  <c r="K163" i="1" l="1"/>
  <c r="G163" i="1" s="1"/>
  <c r="I163" i="1"/>
  <c r="G162" i="1"/>
  <c r="W163" i="1" l="1"/>
  <c r="W162" i="1"/>
  <c r="K164" i="1"/>
  <c r="I164" i="1"/>
  <c r="K165" i="1" l="1"/>
  <c r="G165" i="1" s="1"/>
  <c r="I165" i="1"/>
  <c r="G164" i="1"/>
  <c r="W165" i="1" l="1"/>
  <c r="W164" i="1"/>
  <c r="K166" i="1"/>
  <c r="G166" i="1" s="1"/>
  <c r="I166" i="1"/>
  <c r="W166" i="1" l="1"/>
  <c r="K167" i="1"/>
  <c r="G167" i="1" s="1"/>
  <c r="W167" i="1" s="1"/>
  <c r="I167" i="1"/>
  <c r="K168" i="1" l="1"/>
  <c r="I168" i="1"/>
  <c r="U168" i="1" s="1"/>
  <c r="K169" i="1" l="1"/>
  <c r="G169" i="1" s="1"/>
  <c r="I169" i="1"/>
  <c r="K170" i="1" l="1"/>
  <c r="G170" i="1" s="1"/>
  <c r="I170" i="1"/>
  <c r="L168" i="1"/>
  <c r="I171" i="1" l="1"/>
  <c r="K171" i="1"/>
  <c r="G171" i="1" s="1"/>
  <c r="G168" i="1"/>
  <c r="W168" i="1" l="1"/>
  <c r="W169" i="1"/>
  <c r="W171" i="1"/>
  <c r="W170" i="1"/>
  <c r="K172" i="1"/>
  <c r="G172" i="1" s="1"/>
  <c r="I172" i="1"/>
  <c r="W172" i="1" l="1"/>
  <c r="K173" i="1"/>
  <c r="G173" i="1" s="1"/>
  <c r="I173" i="1"/>
  <c r="W173" i="1" l="1"/>
  <c r="K174" i="1"/>
  <c r="G174" i="1" s="1"/>
  <c r="I174" i="1"/>
  <c r="W174" i="1" l="1"/>
  <c r="K175" i="1"/>
  <c r="G175" i="1" s="1"/>
  <c r="W175" i="1" s="1"/>
  <c r="I175" i="1"/>
  <c r="K176" i="1" l="1"/>
  <c r="G176" i="1" s="1"/>
  <c r="I176" i="1"/>
  <c r="W176" i="1" l="1"/>
  <c r="K177" i="1"/>
  <c r="G177" i="1" s="1"/>
  <c r="I177" i="1"/>
  <c r="W177" i="1" l="1"/>
  <c r="K178" i="1"/>
  <c r="G178" i="1" s="1"/>
  <c r="W178" i="1" s="1"/>
  <c r="I178" i="1"/>
  <c r="K179" i="1" l="1"/>
  <c r="G179" i="1" s="1"/>
  <c r="W179" i="1" s="1"/>
  <c r="I179" i="1"/>
  <c r="K180" i="1" l="1"/>
  <c r="I180" i="1"/>
  <c r="U180" i="1" s="1"/>
  <c r="I181" i="1" l="1"/>
  <c r="K181" i="1"/>
  <c r="G181" i="1" s="1"/>
  <c r="L180" i="1" l="1"/>
  <c r="K182" i="1"/>
  <c r="G182" i="1" s="1"/>
  <c r="I182" i="1"/>
  <c r="K183" i="1" l="1"/>
  <c r="G183" i="1" s="1"/>
  <c r="I183" i="1"/>
  <c r="G180" i="1"/>
  <c r="W181" i="1" l="1"/>
  <c r="W180" i="1"/>
  <c r="W182" i="1"/>
  <c r="W183" i="1"/>
  <c r="K184" i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I187" i="1"/>
  <c r="W187" i="1" l="1"/>
  <c r="K188" i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K193" i="1" l="1"/>
  <c r="G193" i="1" s="1"/>
  <c r="I193" i="1"/>
  <c r="L192" i="1" l="1"/>
  <c r="K194" i="1"/>
  <c r="G194" i="1" s="1"/>
  <c r="I194" i="1"/>
  <c r="K195" i="1" l="1"/>
  <c r="G195" i="1" s="1"/>
  <c r="I195" i="1"/>
  <c r="G192" i="1"/>
  <c r="W192" i="1" l="1"/>
  <c r="W194" i="1"/>
  <c r="W193" i="1"/>
  <c r="W195" i="1"/>
  <c r="K196" i="1"/>
  <c r="G196" i="1" s="1"/>
  <c r="I196" i="1"/>
  <c r="W196" i="1" l="1"/>
  <c r="K197" i="1"/>
  <c r="G197" i="1" s="1"/>
  <c r="I197" i="1"/>
  <c r="W197" i="1" l="1"/>
  <c r="K198" i="1"/>
  <c r="G198" i="1" s="1"/>
  <c r="I198" i="1"/>
  <c r="W198" i="1" l="1"/>
  <c r="K199" i="1"/>
  <c r="G199" i="1" s="1"/>
  <c r="I199" i="1"/>
  <c r="W199" i="1" l="1"/>
  <c r="K200" i="1"/>
  <c r="G200" i="1" s="1"/>
  <c r="I200" i="1"/>
  <c r="W200" i="1" l="1"/>
  <c r="K201" i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K205" i="1" l="1"/>
  <c r="G205" i="1" s="1"/>
  <c r="I205" i="1"/>
  <c r="K206" i="1" l="1"/>
  <c r="G206" i="1" s="1"/>
  <c r="I206" i="1"/>
  <c r="L204" i="1"/>
  <c r="K207" i="1" l="1"/>
  <c r="G207" i="1" s="1"/>
  <c r="I207" i="1"/>
  <c r="G204" i="1"/>
  <c r="W204" i="1" l="1"/>
  <c r="W207" i="1"/>
  <c r="W206" i="1"/>
  <c r="W205" i="1"/>
  <c r="K208" i="1"/>
  <c r="G208" i="1" s="1"/>
  <c r="I208" i="1"/>
  <c r="W208" i="1" l="1"/>
  <c r="K209" i="1"/>
  <c r="G209" i="1" s="1"/>
  <c r="I209" i="1"/>
  <c r="W209" i="1" l="1"/>
  <c r="K210" i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K217" i="1" l="1"/>
  <c r="G217" i="1" s="1"/>
  <c r="I217" i="1"/>
  <c r="K218" i="1" l="1"/>
  <c r="G218" i="1" s="1"/>
  <c r="I218" i="1"/>
  <c r="L216" i="1"/>
  <c r="K219" i="1" l="1"/>
  <c r="G219" i="1" s="1"/>
  <c r="I219" i="1"/>
  <c r="G216" i="1"/>
  <c r="W217" i="1" l="1"/>
  <c r="W219" i="1"/>
  <c r="W216" i="1"/>
  <c r="W218" i="1"/>
  <c r="K220" i="1"/>
  <c r="G220" i="1" s="1"/>
  <c r="I220" i="1"/>
  <c r="W220" i="1" l="1"/>
  <c r="K221" i="1"/>
  <c r="G221" i="1" s="1"/>
  <c r="I221" i="1"/>
  <c r="W221" i="1" l="1"/>
  <c r="K222" i="1"/>
  <c r="G222" i="1" s="1"/>
  <c r="I222" i="1"/>
  <c r="W222" i="1" l="1"/>
  <c r="K223" i="1"/>
  <c r="G223" i="1" s="1"/>
  <c r="I223" i="1"/>
  <c r="W223" i="1" l="1"/>
  <c r="K224" i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L228" i="1" l="1"/>
  <c r="K229" i="1"/>
  <c r="G229" i="1" s="1"/>
  <c r="I229" i="1"/>
  <c r="G228" i="1" l="1"/>
  <c r="K230" i="1"/>
  <c r="G230" i="1" s="1"/>
  <c r="I230" i="1"/>
  <c r="W230" i="1" l="1"/>
  <c r="W229" i="1"/>
  <c r="W228" i="1"/>
  <c r="K231" i="1"/>
  <c r="G231" i="1" s="1"/>
  <c r="I231" i="1"/>
  <c r="W231" i="1" l="1"/>
  <c r="K232" i="1"/>
  <c r="G232" i="1" s="1"/>
  <c r="I232" i="1"/>
  <c r="W232" i="1" l="1"/>
  <c r="K233" i="1"/>
  <c r="G233" i="1" s="1"/>
  <c r="I233" i="1"/>
  <c r="W233" i="1" l="1"/>
  <c r="K234" i="1"/>
  <c r="G234" i="1" s="1"/>
  <c r="W234" i="1" s="1"/>
  <c r="I234" i="1"/>
  <c r="K235" i="1" l="1"/>
  <c r="G235" i="1" s="1"/>
  <c r="I235" i="1"/>
  <c r="W235" i="1" l="1"/>
  <c r="K236" i="1"/>
  <c r="G236" i="1" s="1"/>
  <c r="I236" i="1"/>
  <c r="W236" i="1" l="1"/>
  <c r="K237" i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L240" i="1" l="1"/>
  <c r="G240" i="1" s="1"/>
  <c r="K241" i="1"/>
  <c r="G241" i="1" s="1"/>
  <c r="I241" i="1"/>
  <c r="W240" i="1" l="1"/>
  <c r="W241" i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I245" i="1"/>
  <c r="W245" i="1" l="1"/>
  <c r="K246" i="1"/>
  <c r="G246" i="1" s="1"/>
  <c r="I246" i="1"/>
  <c r="W246" i="1" l="1"/>
  <c r="K247" i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L252" i="1" l="1"/>
  <c r="K253" i="1"/>
  <c r="G253" i="1" s="1"/>
  <c r="I253" i="1"/>
  <c r="G252" i="1" l="1"/>
  <c r="K254" i="1"/>
  <c r="G254" i="1" s="1"/>
  <c r="I254" i="1"/>
  <c r="W254" i="1" l="1"/>
  <c r="W252" i="1"/>
  <c r="W253" i="1"/>
  <c r="K255" i="1"/>
  <c r="G255" i="1" s="1"/>
  <c r="I255" i="1"/>
  <c r="W255" i="1" l="1"/>
  <c r="K256" i="1"/>
  <c r="G256" i="1" s="1"/>
  <c r="I256" i="1"/>
  <c r="W256" i="1" l="1"/>
  <c r="K257" i="1"/>
  <c r="G257" i="1" s="1"/>
  <c r="I257" i="1"/>
  <c r="W257" i="1" l="1"/>
  <c r="K258" i="1"/>
  <c r="G258" i="1" s="1"/>
  <c r="W258" i="1" s="1"/>
  <c r="I258" i="1"/>
  <c r="K259" i="1" l="1"/>
  <c r="G259" i="1" s="1"/>
  <c r="I259" i="1"/>
  <c r="W259" i="1" l="1"/>
  <c r="K260" i="1"/>
  <c r="G260" i="1" s="1"/>
  <c r="W260" i="1" s="1"/>
  <c r="I260" i="1"/>
  <c r="K261" i="1" l="1"/>
  <c r="G261" i="1" s="1"/>
  <c r="I261" i="1"/>
  <c r="W261" i="1" l="1"/>
  <c r="K262" i="1"/>
  <c r="G262" i="1" s="1"/>
  <c r="W262" i="1" s="1"/>
  <c r="I262" i="1"/>
  <c r="K263" i="1" l="1"/>
  <c r="G263" i="1" s="1"/>
  <c r="W263" i="1" s="1"/>
  <c r="I263" i="1"/>
  <c r="K264" i="1" l="1"/>
  <c r="I264" i="1"/>
  <c r="U264" i="1" s="1"/>
  <c r="K265" i="1" l="1"/>
  <c r="G265" i="1" s="1"/>
  <c r="I265" i="1"/>
  <c r="K266" i="1" l="1"/>
  <c r="G266" i="1" s="1"/>
  <c r="I266" i="1"/>
  <c r="L264" i="1"/>
  <c r="U277" i="1"/>
  <c r="K267" i="1" l="1"/>
  <c r="G267" i="1" s="1"/>
  <c r="I267" i="1"/>
  <c r="L277" i="1"/>
  <c r="G264" i="1"/>
  <c r="W266" i="1" l="1"/>
  <c r="W267" i="1"/>
  <c r="W265" i="1"/>
  <c r="W264" i="1"/>
  <c r="K268" i="1"/>
  <c r="G268" i="1" s="1"/>
  <c r="I268" i="1"/>
  <c r="W268" i="1" l="1"/>
  <c r="K269" i="1"/>
  <c r="G269" i="1" s="1"/>
  <c r="I269" i="1"/>
  <c r="W269" i="1" l="1"/>
  <c r="K270" i="1"/>
  <c r="G270" i="1" s="1"/>
  <c r="I270" i="1"/>
  <c r="W270" i="1" l="1"/>
  <c r="K271" i="1"/>
  <c r="G271" i="1" s="1"/>
  <c r="I271" i="1"/>
  <c r="W271" i="1" l="1"/>
  <c r="K272" i="1"/>
  <c r="G272" i="1" s="1"/>
  <c r="I272" i="1"/>
  <c r="W272" i="1" l="1"/>
  <c r="K273" i="1"/>
  <c r="G273" i="1" s="1"/>
  <c r="I273" i="1"/>
  <c r="W273" i="1" l="1"/>
  <c r="K274" i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<sst xmlns="http://schemas.openxmlformats.org/spreadsheetml/2006/main" count="152" uniqueCount="68">
  <si>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</si>
  <si>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</si>
  <si>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</si>
  <si>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</si>
  <si>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</si>
  <si>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</si>
  <si>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</si>
  <si>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</si>
  <si>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</si>
  <si>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</si>
  <si>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</si>
  <si>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</si>
  <si>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</si>
  <si>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</si>
  <si>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</si>
  <si>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</si>
  <si>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</si>
  <si>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</si>
  <si>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</si>
  <si>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</si>
  <si>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</si>
  <si>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</si>
  <si>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</si>
  <si>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</si>
  <si>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</si>
  <si>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</si>
  <si>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</si>
  <si>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</si>
  <si>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</si>
  <si>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</si>
  <si>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</si>
  <si>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</si>
  <si>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</si>
  <si>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</si>
  <si>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</si>
  <si>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</si>
  <si>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</si>
  <si>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</si>
  <si>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</si>
  <si>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</si>
  <si>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</si>
  <si>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</si>
  <si>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</si>
  <si>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</si>
  <si>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</si>
  <si>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</si>
  <si>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</si>
  <si>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</si>
  <si>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</si>
  <si>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</si>
  <si>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</si>
  <si>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</si>
  <si>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</si>
  <si>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</si>
  <si>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</si>
  <si>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</si>
  <si>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</si>
  <si>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</si>
  <si>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</si>
  <si>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</si>
  <si>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</si>
  <si>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</si>
  <si>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</si>
  <si>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квартира)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</si>
  <si>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</si>
  <si>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</si>
  <si>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</si>
  <si>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>1,5% від суми кредиту, максимально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</si>
</sst>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4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3" xfId="0" applyNumberFormat="1" applyFont="1" applyBorder="1" applyAlignment="1" applyProtection="1">
      <alignment horizontal="right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2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vertical="center" wrapText="1"/>
      <protection hidden="1"/>
    </xf>
    <xf numFmtId="0" fontId="32" fillId="0" borderId="65" xfId="0" applyNumberFormat="1" applyFont="1" applyFill="1" applyBorder="1" applyAlignment="1" applyProtection="1">
      <alignment vertical="center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64" fontId="38" fillId="0" borderId="44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10" fontId="34" fillId="0" borderId="66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0" xfId="0" applyNumberFormat="1" applyFont="1" applyFill="1" applyBorder="1" applyAlignment="1" applyProtection="1">
      <alignment vertical="center" wrapText="1"/>
      <protection hidden="1"/>
    </xf>
    <xf numFmtId="0" fontId="32" fillId="0" borderId="44" xfId="0" applyNumberFormat="1" applyFont="1" applyFill="1" applyBorder="1" applyAlignment="1" applyProtection="1">
      <alignment vertical="center" wrapText="1"/>
      <protection hidden="1"/>
    </xf>
    <xf numFmtId="0" fontId="32" fillId="0" borderId="35" xfId="0" applyNumberFormat="1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65" xfId="0" applyFont="1" applyBorder="1" applyAlignment="1" applyProtection="1">
      <alignment horizontal="left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31" xfId="0" applyNumberFormat="1" applyFont="1" applyFill="1" applyBorder="1" applyAlignment="1" applyProtection="1">
      <alignment vertical="center" wrapText="1"/>
      <protection hidden="1"/>
    </xf>
    <xf numFmtId="0" fontId="32" fillId="0" borderId="58" xfId="0" applyNumberFormat="1" applyFont="1" applyFill="1" applyBorder="1" applyAlignment="1" applyProtection="1">
      <alignment vertical="center" wrapText="1"/>
      <protection hidden="1"/>
    </xf>
    <xf numFmtId="4" fontId="38" fillId="0" borderId="31" xfId="0" applyNumberFormat="1" applyFont="1" applyFill="1" applyBorder="1" applyAlignment="1" applyProtection="1">
      <alignment horizontal="center" vertical="top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vertical="center" wrapText="1"/>
      <protection hidden="1"/>
    </xf>
    <xf numFmtId="0" fontId="32" fillId="0" borderId="62" xfId="0" applyNumberFormat="1" applyFont="1" applyFill="1" applyBorder="1" applyAlignment="1" applyProtection="1">
      <alignment vertical="center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4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9" fontId="19" fillId="0" borderId="46" xfId="50" applyFont="1" applyFill="1" applyBorder="1" applyAlignment="1" applyProtection="1">
      <alignment horizontal="center" vertical="top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0" fontId="18" fillId="0" borderId="46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4" fontId="19" fillId="34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61" xfId="0" applyNumberFormat="1" applyFont="1" applyFill="1" applyBorder="1" applyAlignment="1" applyProtection="1">
      <alignment horizontal="left" vertical="top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47627</xdr:colOff>
      <xdr:row>9</xdr:row>
      <xdr:rowOff>143755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F466BEF0-7133-4A48-9C76-58247FBF5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982" y="76200"/>
          <a:ext cx="3436144" cy="11153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47626</xdr:colOff>
      <xdr:row>6</xdr:row>
      <xdr:rowOff>145676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6E9A91A3-FA25-4B99-98AD-5C0177DD6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3038" y="76200"/>
          <a:ext cx="3437264" cy="842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tabSelected="1" view="pageBreakPreview" zoomScale="70" zoomScaleNormal="85" zoomScaleSheetLayoutView="70" workbookViewId="0">
      <selection activeCell="K36" sqref="K36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82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24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24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99" t="s">
        <v>0</v>
      </c>
      <c r="D7" s="99"/>
      <c r="E7" s="99"/>
      <c r="F7" s="100">
        <v>44197</v>
      </c>
      <c r="G7" s="100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99" t="s">
        <v>27</v>
      </c>
      <c r="D8" s="99"/>
      <c r="E8" s="99"/>
      <c r="F8" s="100">
        <v>51502</v>
      </c>
      <c r="G8" s="100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83" t="s">
        <v>40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91"/>
      <c r="U10" s="91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15" x14ac:dyDescent="0.25">
      <c r="G13" s="145" t="s">
        <v>1</v>
      </c>
      <c r="H13" s="146"/>
      <c r="I13" s="146"/>
      <c r="J13" s="143">
        <v>10000000</v>
      </c>
      <c r="K13" s="143"/>
      <c r="L13" s="141" t="s">
        <v>10</v>
      </c>
      <c r="M13" s="142"/>
      <c r="N13" s="119" t="s">
        <v>54</v>
      </c>
      <c r="O13" s="119"/>
      <c r="P13" s="119"/>
      <c r="Q13" s="119"/>
      <c r="R13" s="119"/>
      <c r="S13" s="119"/>
      <c r="T13" s="119"/>
      <c r="U13" s="120"/>
      <c r="V13" s="78"/>
    </row>
    <row r="14" spans="2:24" s="2" customFormat="1" ht="15" x14ac:dyDescent="0.25">
      <c r="G14" s="103" t="s">
        <v>2</v>
      </c>
      <c r="H14" s="104"/>
      <c r="I14" s="104"/>
      <c r="J14" s="152">
        <v>240</v>
      </c>
      <c r="K14" s="152"/>
      <c r="L14" s="129" t="s">
        <v>3</v>
      </c>
      <c r="M14" s="130"/>
      <c r="N14" s="121" t="s">
        <v>34</v>
      </c>
      <c r="O14" s="121"/>
      <c r="P14" s="121"/>
      <c r="Q14" s="121"/>
      <c r="R14" s="121"/>
      <c r="S14" s="121"/>
      <c r="T14" s="121"/>
      <c r="U14" s="122"/>
      <c r="V14" s="78"/>
    </row>
    <row r="15" spans="2:24" s="2" customFormat="1" ht="15" x14ac:dyDescent="0.25">
      <c r="G15" s="103" t="s">
        <v>55</v>
      </c>
      <c r="H15" s="104"/>
      <c r="I15" s="104"/>
      <c r="J15" s="125">
        <v>13500000</v>
      </c>
      <c r="K15" s="125"/>
      <c r="L15" s="129" t="s">
        <v>10</v>
      </c>
      <c r="M15" s="130"/>
      <c r="N15" s="121"/>
      <c r="O15" s="121"/>
      <c r="P15" s="121"/>
      <c r="Q15" s="121"/>
      <c r="R15" s="121"/>
      <c r="S15" s="121"/>
      <c r="T15" s="121"/>
      <c r="U15" s="122"/>
      <c r="V15" s="78"/>
    </row>
    <row r="16" spans="2:24" s="2" customFormat="1" ht="15" x14ac:dyDescent="0.25">
      <c r="G16" s="103" t="s">
        <v>31</v>
      </c>
      <c r="H16" s="104"/>
      <c r="I16" s="104"/>
      <c r="J16" s="144">
        <f>J13*1.5%</f>
        <v>150000</v>
      </c>
      <c r="K16" s="144"/>
      <c r="L16" s="129" t="s">
        <v>10</v>
      </c>
      <c r="M16" s="130"/>
      <c r="N16" s="123" t="s">
        <v>67</v>
      </c>
      <c r="O16" s="123"/>
      <c r="P16" s="123"/>
      <c r="Q16" s="123"/>
      <c r="R16" s="123"/>
      <c r="S16" s="123"/>
      <c r="T16" s="123"/>
      <c r="U16" s="124"/>
      <c r="V16" s="78"/>
    </row>
    <row r="17" spans="2:25" s="2" customFormat="1" ht="15" x14ac:dyDescent="0.25">
      <c r="G17" s="103" t="s">
        <v>32</v>
      </c>
      <c r="H17" s="104"/>
      <c r="I17" s="104"/>
      <c r="J17" s="144">
        <v>100</v>
      </c>
      <c r="K17" s="144"/>
      <c r="L17" s="129" t="s">
        <v>10</v>
      </c>
      <c r="M17" s="130"/>
      <c r="N17" s="121" t="s">
        <v>37</v>
      </c>
      <c r="O17" s="121"/>
      <c r="P17" s="121"/>
      <c r="Q17" s="121"/>
      <c r="R17" s="121"/>
      <c r="S17" s="121"/>
      <c r="T17" s="121"/>
      <c r="U17" s="122"/>
      <c r="V17" s="4"/>
    </row>
    <row r="18" spans="2:25" s="2" customFormat="1" ht="15" x14ac:dyDescent="0.25">
      <c r="G18" s="103" t="s">
        <v>57</v>
      </c>
      <c r="H18" s="104"/>
      <c r="I18" s="104"/>
      <c r="J18" s="144">
        <f>J15*0.1%+5000</f>
        <v>18500</v>
      </c>
      <c r="K18" s="144"/>
      <c r="L18" s="129" t="s">
        <v>10</v>
      </c>
      <c r="M18" s="130"/>
      <c r="N18" s="123" t="s">
        <v>41</v>
      </c>
      <c r="O18" s="123"/>
      <c r="P18" s="123"/>
      <c r="Q18" s="123"/>
      <c r="R18" s="123"/>
      <c r="S18" s="123"/>
      <c r="T18" s="123"/>
      <c r="U18" s="124"/>
      <c r="V18" s="4"/>
    </row>
    <row r="19" spans="2:25" s="2" customFormat="1" ht="15" x14ac:dyDescent="0.25">
      <c r="G19" s="147" t="s">
        <v>33</v>
      </c>
      <c r="H19" s="148"/>
      <c r="I19" s="148"/>
      <c r="J19" s="149">
        <v>150</v>
      </c>
      <c r="K19" s="149"/>
      <c r="L19" s="150" t="s">
        <v>10</v>
      </c>
      <c r="M19" s="151"/>
      <c r="N19" s="121" t="s">
        <v>35</v>
      </c>
      <c r="O19" s="121"/>
      <c r="P19" s="121"/>
      <c r="Q19" s="121"/>
      <c r="R19" s="121"/>
      <c r="S19" s="121"/>
      <c r="T19" s="121"/>
      <c r="U19" s="122"/>
      <c r="V19" s="4"/>
    </row>
    <row r="20" spans="2:25" s="2" customFormat="1" ht="15" x14ac:dyDescent="0.25">
      <c r="G20" s="103" t="s">
        <v>58</v>
      </c>
      <c r="H20" s="104"/>
      <c r="I20" s="105"/>
      <c r="J20" s="117">
        <f>J15*N20</f>
        <v>40500</v>
      </c>
      <c r="K20" s="117"/>
      <c r="L20" s="123" t="s">
        <v>10</v>
      </c>
      <c r="M20" s="133"/>
      <c r="N20" s="81">
        <v>3.0000000000000001E-3</v>
      </c>
      <c r="O20" s="136" t="s">
        <v>64</v>
      </c>
      <c r="P20" s="136"/>
      <c r="Q20" s="136"/>
      <c r="R20" s="136"/>
      <c r="S20" s="136"/>
      <c r="T20" s="136"/>
      <c r="U20" s="137"/>
      <c r="V20" s="77"/>
    </row>
    <row r="21" spans="2:25" s="2" customFormat="1" ht="15" x14ac:dyDescent="0.25">
      <c r="G21" s="103" t="s">
        <v>38</v>
      </c>
      <c r="H21" s="104"/>
      <c r="I21" s="105"/>
      <c r="J21" s="117">
        <f>J13*0.3%</f>
        <v>30000</v>
      </c>
      <c r="K21" s="117"/>
      <c r="L21" s="123" t="s">
        <v>10</v>
      </c>
      <c r="M21" s="133"/>
      <c r="N21" s="81">
        <v>3.0000000000000001E-3</v>
      </c>
      <c r="O21" s="136" t="s">
        <v>65</v>
      </c>
      <c r="P21" s="136"/>
      <c r="Q21" s="136"/>
      <c r="R21" s="136"/>
      <c r="S21" s="136"/>
      <c r="T21" s="136"/>
      <c r="U21" s="137"/>
      <c r="V21" s="77"/>
    </row>
    <row r="22" spans="2:25" s="2" customFormat="1" ht="15.75" thickBot="1" x14ac:dyDescent="0.3">
      <c r="G22" s="126" t="s">
        <v>56</v>
      </c>
      <c r="H22" s="127"/>
      <c r="I22" s="127"/>
      <c r="J22" s="128">
        <f>IF(J14&lt;=60,"19",IF(AND(J14&gt;=61,J14&lt;=120),"20",IF(AND(J14&lt;=180,J14&gt;=121),"21","21,5")))%</f>
        <v>0.215</v>
      </c>
      <c r="K22" s="128"/>
      <c r="L22" s="134" t="s">
        <v>4</v>
      </c>
      <c r="M22" s="135"/>
      <c r="N22" s="131" t="s">
        <v>66</v>
      </c>
      <c r="O22" s="131"/>
      <c r="P22" s="131"/>
      <c r="Q22" s="131"/>
      <c r="R22" s="131"/>
      <c r="S22" s="131"/>
      <c r="T22" s="131"/>
      <c r="U22" s="132"/>
      <c r="V22" s="77"/>
    </row>
    <row r="23" spans="2:25" s="2" customFormat="1" ht="15" x14ac:dyDescent="0.25">
      <c r="G23" s="118" t="s">
        <v>42</v>
      </c>
      <c r="H23" s="118"/>
      <c r="I23" s="118"/>
      <c r="J23" s="118"/>
      <c r="K23" s="79"/>
      <c r="L23" s="80"/>
      <c r="M23" s="80"/>
      <c r="N23" s="71"/>
      <c r="O23" s="71"/>
      <c r="P23" s="71"/>
      <c r="Q23" s="71"/>
      <c r="R23" s="71"/>
      <c r="S23" s="71"/>
      <c r="T23" s="77"/>
      <c r="U23" s="77"/>
      <c r="V23" s="77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70"/>
      <c r="U24" s="70"/>
      <c r="V24" s="69"/>
    </row>
    <row r="25" spans="2:25" s="2" customFormat="1" ht="15" x14ac:dyDescent="0.25">
      <c r="G25" s="116" t="s">
        <v>62</v>
      </c>
      <c r="H25" s="116"/>
      <c r="I25" s="116"/>
      <c r="J25" s="116"/>
      <c r="K25" s="116"/>
      <c r="L25" s="116"/>
      <c r="M25" s="116"/>
      <c r="N25" s="116"/>
      <c r="O25" s="71"/>
      <c r="P25" s="71"/>
      <c r="Q25" s="71"/>
      <c r="R25" s="71"/>
      <c r="S25" s="71"/>
      <c r="T25" s="72"/>
      <c r="U25" s="72"/>
      <c r="V25" s="73"/>
    </row>
    <row r="26" spans="2:25" s="2" customFormat="1" ht="15" x14ac:dyDescent="0.25">
      <c r="G26" s="116" t="s">
        <v>46</v>
      </c>
      <c r="H26" s="116"/>
      <c r="I26" s="116"/>
      <c r="J26" s="116"/>
      <c r="K26" s="116"/>
      <c r="L26" s="116"/>
      <c r="M26" s="116"/>
      <c r="N26" s="116"/>
      <c r="O26" s="74">
        <f>MAX('Умови та класичний графік'!W40:W277)</f>
        <v>0.25484463378906252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16" t="s">
        <v>39</v>
      </c>
      <c r="H27" s="116"/>
      <c r="I27" s="116"/>
      <c r="J27" s="116"/>
      <c r="K27" s="116"/>
      <c r="L27" s="116"/>
      <c r="M27" s="116"/>
      <c r="N27" s="116"/>
      <c r="O27" s="76">
        <f>J16+J17+J18+J19+J20+J21</f>
        <v>239250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116" t="s">
        <v>44</v>
      </c>
      <c r="H28" s="116"/>
      <c r="I28" s="116"/>
      <c r="J28" s="116"/>
      <c r="K28" s="116"/>
      <c r="L28" s="116"/>
      <c r="M28" s="116"/>
      <c r="N28" s="116"/>
      <c r="O28" s="76">
        <f>'Умови та класичний графік'!X277</f>
        <v>22891800.799086772</v>
      </c>
      <c r="P28" s="75"/>
      <c r="Q28" s="75"/>
      <c r="R28" s="75"/>
      <c r="S28" s="75"/>
      <c r="T28" s="73"/>
      <c r="U28" s="73"/>
      <c r="V28" s="73"/>
    </row>
    <row r="29" spans="2:25" s="2" customFormat="1" ht="15" x14ac:dyDescent="0.25">
      <c r="G29" s="116" t="s">
        <v>45</v>
      </c>
      <c r="H29" s="116"/>
      <c r="I29" s="116"/>
      <c r="J29" s="116"/>
      <c r="K29" s="116"/>
      <c r="L29" s="116"/>
      <c r="M29" s="116"/>
      <c r="N29" s="116"/>
      <c r="O29" s="76">
        <f>'Умови та класичний графік'!Y277</f>
        <v>32891800.799086772</v>
      </c>
      <c r="P29" s="75"/>
      <c r="Q29" s="75"/>
      <c r="R29" s="75"/>
      <c r="S29" s="75"/>
      <c r="T29" s="77"/>
      <c r="U29" s="77"/>
      <c r="V29" s="77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84" t="s">
        <v>36</v>
      </c>
      <c r="C31" s="84" t="s">
        <v>26</v>
      </c>
      <c r="D31" s="84" t="s">
        <v>6</v>
      </c>
      <c r="E31" s="84"/>
      <c r="F31" s="92" t="s">
        <v>12</v>
      </c>
      <c r="G31" s="95" t="s">
        <v>48</v>
      </c>
      <c r="H31" s="96"/>
      <c r="I31" s="113" t="s">
        <v>29</v>
      </c>
      <c r="J31" s="106" t="s">
        <v>11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3" t="s">
        <v>49</v>
      </c>
      <c r="X31" s="84" t="s">
        <v>50</v>
      </c>
      <c r="Y31" s="84" t="s">
        <v>51</v>
      </c>
    </row>
    <row r="32" spans="2:25" s="9" customFormat="1" ht="12.75" customHeight="1" x14ac:dyDescent="0.2">
      <c r="B32" s="84"/>
      <c r="C32" s="84"/>
      <c r="D32" s="84"/>
      <c r="E32" s="84"/>
      <c r="F32" s="93"/>
      <c r="G32" s="97"/>
      <c r="H32" s="98"/>
      <c r="I32" s="114"/>
      <c r="J32" s="101" t="s">
        <v>53</v>
      </c>
      <c r="K32" s="101" t="s">
        <v>52</v>
      </c>
      <c r="L32" s="113" t="s">
        <v>30</v>
      </c>
      <c r="M32" s="107" t="s">
        <v>13</v>
      </c>
      <c r="N32" s="108"/>
      <c r="O32" s="108"/>
      <c r="P32" s="108"/>
      <c r="Q32" s="108"/>
      <c r="R32" s="108"/>
      <c r="S32" s="108"/>
      <c r="T32" s="108"/>
      <c r="U32" s="108"/>
      <c r="V32" s="109"/>
      <c r="W32" s="114"/>
      <c r="X32" s="84"/>
      <c r="Y32" s="84"/>
    </row>
    <row r="33" spans="2:25" s="9" customFormat="1" ht="15" customHeight="1" x14ac:dyDescent="0.2">
      <c r="B33" s="84"/>
      <c r="C33" s="84"/>
      <c r="D33" s="84"/>
      <c r="E33" s="84"/>
      <c r="F33" s="93"/>
      <c r="G33" s="97"/>
      <c r="H33" s="98"/>
      <c r="I33" s="114"/>
      <c r="J33" s="102"/>
      <c r="K33" s="102"/>
      <c r="L33" s="114"/>
      <c r="M33" s="107" t="s">
        <v>14</v>
      </c>
      <c r="N33" s="108"/>
      <c r="O33" s="108"/>
      <c r="P33" s="109"/>
      <c r="Q33" s="110" t="s">
        <v>17</v>
      </c>
      <c r="R33" s="111"/>
      <c r="S33" s="110" t="s">
        <v>20</v>
      </c>
      <c r="T33" s="112"/>
      <c r="U33" s="112"/>
      <c r="V33" s="111"/>
      <c r="W33" s="114"/>
      <c r="X33" s="84"/>
      <c r="Y33" s="84"/>
    </row>
    <row r="34" spans="2:25" s="9" customFormat="1" ht="55.5" customHeight="1" x14ac:dyDescent="0.2">
      <c r="B34" s="84"/>
      <c r="C34" s="84"/>
      <c r="D34" s="16" t="s">
        <v>7</v>
      </c>
      <c r="E34" s="16" t="s">
        <v>8</v>
      </c>
      <c r="F34" s="94"/>
      <c r="G34" s="97"/>
      <c r="H34" s="98"/>
      <c r="I34" s="115"/>
      <c r="J34" s="102"/>
      <c r="K34" s="102"/>
      <c r="L34" s="115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15"/>
      <c r="X34" s="84"/>
      <c r="Y34" s="84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88">
        <v>6</v>
      </c>
      <c r="H35" s="88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F7</f>
        <v>44197</v>
      </c>
      <c r="D36" s="27" t="s">
        <v>24</v>
      </c>
      <c r="E36" s="27" t="s">
        <v>24</v>
      </c>
      <c r="F36" s="28" t="s">
        <v>24</v>
      </c>
      <c r="G36" s="138">
        <f>-('Умови та класичний графік'!J13-L36)</f>
        <v>-9760750</v>
      </c>
      <c r="H36" s="139"/>
      <c r="I36" s="29" t="s">
        <v>24</v>
      </c>
      <c r="J36" s="28" t="s">
        <v>24</v>
      </c>
      <c r="K36" s="28" t="s">
        <v>24</v>
      </c>
      <c r="L36" s="30">
        <f>SUM(M36:V36)</f>
        <v>239250</v>
      </c>
      <c r="M36" s="31">
        <v>0</v>
      </c>
      <c r="N36" s="31">
        <v>100</v>
      </c>
      <c r="O36" s="32">
        <f>J16</f>
        <v>150000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графік'!J15*0.1%+5000)</f>
        <v>18500</v>
      </c>
      <c r="T36" s="33">
        <f>SUM(T37:T276)</f>
        <v>0</v>
      </c>
      <c r="U36" s="33">
        <f>J20+J21</f>
        <v>70500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40">
        <f>J37+K37+L37</f>
        <v>224269.40639269407</v>
      </c>
      <c r="H37" s="140"/>
      <c r="I37" s="32">
        <f>'Умови та класичний графік'!J13-J37</f>
        <v>9958333.333333334</v>
      </c>
      <c r="J37" s="32">
        <f>'Умови та класичний графік'!J13/'Умови та класичний графік'!J14</f>
        <v>41666.666666666664</v>
      </c>
      <c r="K37" s="32">
        <f>(('Умови та класичний графік'!J13*'Умови та класичний графік'!$J$22)/365)*F37</f>
        <v>182602.73972602742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графік'!$J$14,XIRR($G$36:G37,$C$36:C37,0),"")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40">
        <f>J38+K38+L38</f>
        <v>205910.9589041096</v>
      </c>
      <c r="H38" s="140"/>
      <c r="I38" s="32">
        <f>I37-J38</f>
        <v>9916666.6666666679</v>
      </c>
      <c r="J38" s="32">
        <f>J37</f>
        <v>41666.666666666664</v>
      </c>
      <c r="K38" s="32">
        <f>((I37*'Умови та класичний графік'!$J$22)/365)*F38</f>
        <v>164244.29223744295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 t="e">
        <f>IF(B37&lt;'Умови та класичний графік'!$J$14,XIRR($G$36:G38,$C$36:C38,0),"")</f>
        <v>#NUM!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графік'!$J$14,EDATE(C38,1),"")</f>
        <v>44287</v>
      </c>
      <c r="D39" s="36">
        <f>IF(B38&lt;'Умови та класичний графік'!$J$14,C38,"")</f>
        <v>44256</v>
      </c>
      <c r="E39" s="26">
        <f>IF(B38&lt;'Умови та класичний графік'!$J$14,C39-1,"")</f>
        <v>44286</v>
      </c>
      <c r="F39" s="37">
        <f>IF(B38&lt;'Умови та класичний графік'!$J$14,E39-D39+1,"")</f>
        <v>31</v>
      </c>
      <c r="G39" s="86">
        <f>IF(B38&lt;'Умови та класичний графік'!$J$14,J39+K39+L39,"")</f>
        <v>222747.71689497717</v>
      </c>
      <c r="H39" s="87"/>
      <c r="I39" s="32">
        <f>IF(B38&lt;'Умови та класичний графік'!$J$14,I38-J39,"")</f>
        <v>9875000.0000000019</v>
      </c>
      <c r="J39" s="32">
        <f>IF(B38&lt;'Умови та класичний графік'!$J$14,J38,"")</f>
        <v>41666.666666666664</v>
      </c>
      <c r="K39" s="32">
        <f>IF(B38&lt;'Умови та класичний графік'!$J$14,((I38*'Умови та класичний графік'!$J$22)/365)*F39,"")</f>
        <v>181081.05022831052</v>
      </c>
      <c r="L39" s="30">
        <f>IF(B38&lt;'Умови та класичний графік'!$J$14,SUM(M39:V39),"")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графік'!$J$14,XIRR($G$36:G39,$C$36:C39,0),"")</f>
        <v>-0.99999917393957549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графік'!$J$14,EDATE(C39,1),"")</f>
        <v>44317</v>
      </c>
      <c r="D40" s="36">
        <f>IF(B39&lt;'Умови та класичний графік'!$J$14,C39,"")</f>
        <v>44287</v>
      </c>
      <c r="E40" s="26">
        <f>IF(B39&lt;'Умови та класичний графік'!$J$14,C40-1,"")</f>
        <v>44316</v>
      </c>
      <c r="F40" s="37">
        <f>IF(B39&lt;'Умови та класичний графік'!$J$14,E40-D40+1,"")</f>
        <v>30</v>
      </c>
      <c r="G40" s="86">
        <f>IF(B39&lt;'Умови та класичний графік'!$J$14,J40+K40+L40,"")</f>
        <v>216170.09132420094</v>
      </c>
      <c r="H40" s="87"/>
      <c r="I40" s="32">
        <f>IF(B39&lt;'Умови та класичний графік'!$J$14,I39-J40,"")</f>
        <v>9833333.3333333358</v>
      </c>
      <c r="J40" s="32">
        <f>IF(B39&lt;'Умови та класичний графік'!$J$14,J39,"")</f>
        <v>41666.666666666664</v>
      </c>
      <c r="K40" s="32">
        <f>IF(B39&lt;'Умови та класичний графік'!$J$14,((I39*'Умови та класичний графік'!$J$22)/365)*F40,"")</f>
        <v>174503.42465753428</v>
      </c>
      <c r="L40" s="30">
        <f>IF(B39&lt;'Умови та класичний графік'!$J$14,SUM(M40:V40),"")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графік'!$J$14,XIRR($G$36:G40,$C$36:C40,0),"")</f>
        <v>-0.99995093877390828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графік'!$J$14,EDATE(C40,1),"")</f>
        <v>44348</v>
      </c>
      <c r="D41" s="36">
        <f>IF(B40&lt;'Умови та класичний графік'!$J$14,C40,"")</f>
        <v>44317</v>
      </c>
      <c r="E41" s="26">
        <f>IF(B40&lt;'Умови та класичний графік'!$J$14,C41-1,"")</f>
        <v>44347</v>
      </c>
      <c r="F41" s="37">
        <f>IF(B40&lt;'Умови та класичний графік'!$J$14,E41-D41+1,"")</f>
        <v>31</v>
      </c>
      <c r="G41" s="86">
        <f>IF(B40&lt;'Умови та класичний графік'!$J$14,J41+K41+L41,"")</f>
        <v>221226.0273972603</v>
      </c>
      <c r="H41" s="87"/>
      <c r="I41" s="32">
        <f>IF(B40&lt;'Умови та класичний графік'!$J$14,I40-J41,"")</f>
        <v>9791666.6666666698</v>
      </c>
      <c r="J41" s="32">
        <f>IF(B40&lt;'Умови та класичний графік'!$J$14,J40,"")</f>
        <v>41666.666666666664</v>
      </c>
      <c r="K41" s="32">
        <f>IF(B40&lt;'Умови та класичний графік'!$J$14,((I40*'Умови та класичний графік'!$J$22)/365)*F41,"")</f>
        <v>179559.36073059365</v>
      </c>
      <c r="L41" s="30">
        <f>IF(B40&lt;'Умови та класичний графік'!$J$14,SUM(M41:V41),"")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графік'!$J$14,XIRR($G$36:G41,$C$36:C41,0),"")</f>
        <v>-0.99940551532972088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графік'!$J$14,EDATE(C41,1),"")</f>
        <v>44378</v>
      </c>
      <c r="D42" s="36">
        <f>IF(B41&lt;'Умови та класичний графік'!$J$14,C41,"")</f>
        <v>44348</v>
      </c>
      <c r="E42" s="26">
        <f>IF(B41&lt;'Умови та класичний графік'!$J$14,C42-1,"")</f>
        <v>44377</v>
      </c>
      <c r="F42" s="37">
        <f>IF(B41&lt;'Умови та класичний графік'!$J$14,E42-D42+1,"")</f>
        <v>30</v>
      </c>
      <c r="G42" s="86">
        <f>IF(B41&lt;'Умови та класичний графік'!$J$14,J42+K42+L42,"")</f>
        <v>214697.48858447492</v>
      </c>
      <c r="H42" s="87"/>
      <c r="I42" s="32">
        <f>IF(B41&lt;'Умови та класичний графік'!$J$14,I41-J42,"")</f>
        <v>9750000.0000000037</v>
      </c>
      <c r="J42" s="32">
        <f>IF(B41&lt;'Умови та класичний графік'!$J$14,J41,"")</f>
        <v>41666.666666666664</v>
      </c>
      <c r="K42" s="32">
        <f>IF(B41&lt;'Умови та класичний графік'!$J$14,((I41*'Умови та класичний графік'!$J$22)/365)*F42,"")</f>
        <v>173030.82191780827</v>
      </c>
      <c r="L42" s="30">
        <f>IF(B41&lt;'Умови та класичний графік'!$J$14,SUM(M42:V42),"")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графік'!$J$14,XIRR($G$36:G42,$C$36:C42,0),"")</f>
        <v>-0.99715489991878625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графік'!$J$14,EDATE(C42,1),"")</f>
        <v>44409</v>
      </c>
      <c r="D43" s="36">
        <f>IF(B42&lt;'Умови та класичний графік'!$J$14,C42,"")</f>
        <v>44378</v>
      </c>
      <c r="E43" s="26">
        <f>IF(B42&lt;'Умови та класичний графік'!$J$14,C43-1,"")</f>
        <v>44408</v>
      </c>
      <c r="F43" s="37">
        <f>IF(B42&lt;'Умови та класичний графік'!$J$14,E43-D43+1,"")</f>
        <v>31</v>
      </c>
      <c r="G43" s="86">
        <f>IF(B42&lt;'Умови та класичний графік'!$J$14,J43+K43+L43,"")</f>
        <v>219704.33789954343</v>
      </c>
      <c r="H43" s="87"/>
      <c r="I43" s="32">
        <f>IF(B42&lt;'Умови та класичний графік'!$J$14,I42-J43,"")</f>
        <v>9708333.3333333377</v>
      </c>
      <c r="J43" s="32">
        <f>IF(B42&lt;'Умови та класичний графік'!$J$14,J42,"")</f>
        <v>41666.666666666664</v>
      </c>
      <c r="K43" s="32">
        <f>IF(B42&lt;'Умови та класичний графік'!$J$14,((I42*'Умови та класичний графік'!$J$22)/365)*F43,"")</f>
        <v>178037.67123287678</v>
      </c>
      <c r="L43" s="30">
        <f>IF(B42&lt;'Умови та класичний графік'!$J$14,SUM(M43:V43),"")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графік'!$J$14,XIRR($G$36:G43,$C$36:C43,0),"")</f>
        <v>-0.99119445453376498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графік'!$J$14,EDATE(C43,1),"")</f>
        <v>44440</v>
      </c>
      <c r="D44" s="36">
        <f>IF(B43&lt;'Умови та класичний графік'!$J$14,C43,"")</f>
        <v>44409</v>
      </c>
      <c r="E44" s="26">
        <f>IF(B43&lt;'Умови та класичний графік'!$J$14,C44-1,"")</f>
        <v>44439</v>
      </c>
      <c r="F44" s="37">
        <f>IF(B43&lt;'Умови та класичний графік'!$J$14,E44-D44+1,"")</f>
        <v>31</v>
      </c>
      <c r="G44" s="86">
        <f>IF(B43&lt;'Умови та класичний графік'!$J$14,J44+K44+L44,"")</f>
        <v>218943.49315068501</v>
      </c>
      <c r="H44" s="87"/>
      <c r="I44" s="32">
        <f>IF(B43&lt;'Умови та класичний графік'!$J$14,I43-J44,"")</f>
        <v>9666666.6666666716</v>
      </c>
      <c r="J44" s="32">
        <f>IF(B43&lt;'Умови та класичний графік'!$J$14,J43,"")</f>
        <v>41666.666666666664</v>
      </c>
      <c r="K44" s="32">
        <f>IF(B43&lt;'Умови та класичний графік'!$J$14,((I43*'Умови та класичний графік'!$J$22)/365)*F44,"")</f>
        <v>177276.82648401835</v>
      </c>
      <c r="L44" s="30">
        <f>IF(B43&lt;'Умови та класичний графік'!$J$14,SUM(M44:V44),"")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графік'!$J$14,XIRR($G$36:G44,$C$36:C44,0),"")</f>
        <v>-0.97996586292708288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графік'!$J$14,EDATE(C44,1),"")</f>
        <v>44470</v>
      </c>
      <c r="D45" s="36">
        <f>IF(B44&lt;'Умови та класичний графік'!$J$14,C44,"")</f>
        <v>44440</v>
      </c>
      <c r="E45" s="26">
        <f>IF(B44&lt;'Умови та класичний графік'!$J$14,C45-1,"")</f>
        <v>44469</v>
      </c>
      <c r="F45" s="37">
        <f>IF(B44&lt;'Умови та класичний графік'!$J$14,E45-D45+1,"")</f>
        <v>30</v>
      </c>
      <c r="G45" s="86">
        <f>IF(B44&lt;'Умови та класичний графік'!$J$14,J45+K45+L45,"")</f>
        <v>212488.58447488592</v>
      </c>
      <c r="H45" s="87"/>
      <c r="I45" s="32">
        <f>IF(B44&lt;'Умови та класичний графік'!$J$14,I44-J45,"")</f>
        <v>9625000.0000000056</v>
      </c>
      <c r="J45" s="32">
        <f>IF(B44&lt;'Умови та класичний графік'!$J$14,J44,"")</f>
        <v>41666.666666666664</v>
      </c>
      <c r="K45" s="32">
        <f>IF(B44&lt;'Умови та класичний графік'!$J$14,((I44*'Умови та класичний графік'!$J$22)/365)*F45,"")</f>
        <v>170821.91780821927</v>
      </c>
      <c r="L45" s="30">
        <f>IF(B44&lt;'Умови та класичний графік'!$J$14,SUM(M45:V45),"")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графік'!$J$14,XIRR($G$36:G45,$C$36:C45,0),"")</f>
        <v>-0.96332147888518882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графік'!$J$14,EDATE(C45,1),"")</f>
        <v>44501</v>
      </c>
      <c r="D46" s="36">
        <f>IF(B45&lt;'Умови та класичний графік'!$J$14,C45,"")</f>
        <v>44470</v>
      </c>
      <c r="E46" s="26">
        <f>IF(B45&lt;'Умови та класичний графік'!$J$14,C46-1,"")</f>
        <v>44500</v>
      </c>
      <c r="F46" s="37">
        <f>IF(B45&lt;'Умови та класичний графік'!$J$14,E46-D46+1,"")</f>
        <v>31</v>
      </c>
      <c r="G46" s="86">
        <f>IF(B45&lt;'Умови та класичний графік'!$J$14,J46+K46+L46,"")</f>
        <v>217421.80365296814</v>
      </c>
      <c r="H46" s="87"/>
      <c r="I46" s="32">
        <f>IF(B45&lt;'Умови та класичний графік'!$J$14,I45-J46,"")</f>
        <v>9583333.3333333395</v>
      </c>
      <c r="J46" s="32">
        <f>IF(B45&lt;'Умови та класичний графік'!$J$14,J45,"")</f>
        <v>41666.666666666664</v>
      </c>
      <c r="K46" s="32">
        <f>IF(B45&lt;'Умови та класичний графік'!$J$14,((I45*'Умови та класичний графік'!$J$22)/365)*F46,"")</f>
        <v>175755.13698630148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графік'!$J$14,XIRR($G$36:G46,$C$36:C46,0),"")</f>
        <v>-0.9402828153360635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графік'!$J$14,EDATE(C46,1),"")</f>
        <v>44531</v>
      </c>
      <c r="D47" s="36">
        <f>IF(B46&lt;'Умови та класичний графік'!$J$14,C46,"")</f>
        <v>44501</v>
      </c>
      <c r="E47" s="26">
        <f>IF(B46&lt;'Умови та класичний графік'!$J$14,C47-1,"")</f>
        <v>44530</v>
      </c>
      <c r="F47" s="37">
        <f>IF(B46&lt;'Умови та класичний графік'!$J$14,E47-D47+1,"")</f>
        <v>30</v>
      </c>
      <c r="G47" s="86">
        <f>IF(B46&lt;'Умови та класичний графік'!$J$14,J47+K47+L47,"")</f>
        <v>211015.9817351599</v>
      </c>
      <c r="H47" s="87"/>
      <c r="I47" s="32">
        <f>IF(B46&lt;'Умови та класичний графік'!$J$14,I46-J47,"")</f>
        <v>9541666.6666666735</v>
      </c>
      <c r="J47" s="32">
        <f>IF(B46&lt;'Умови та класичний графік'!$J$14,J46,"")</f>
        <v>41666.666666666664</v>
      </c>
      <c r="K47" s="32">
        <f>IF(B46&lt;'Умови та класичний графік'!$J$14,((I46*'Умови та класичний графік'!$J$22)/365)*F47,"")</f>
        <v>169349.31506849325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графік'!$J$14,XIRR($G$36:G47,$C$36:C47,0),"")</f>
        <v>-0.91285258508063849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графік'!$J$14,EDATE(C47,1),"")</f>
        <v>44562</v>
      </c>
      <c r="D48" s="36">
        <f>IF(B47&lt;'Умови та класичний графік'!$J$14,C47,"")</f>
        <v>44531</v>
      </c>
      <c r="E48" s="26">
        <f>IF(B47&lt;'Умови та класичний графік'!$J$14,C48-1,"")</f>
        <v>44561</v>
      </c>
      <c r="F48" s="37">
        <f>IF(B47&lt;'Умови та класичний графік'!$J$14,E48-D48+1,"")</f>
        <v>31</v>
      </c>
      <c r="G48" s="86">
        <f>IF(B47&lt;'Умови та класичний графік'!$J$14,J48+K48+L48,"")</f>
        <v>284900.1141552513</v>
      </c>
      <c r="H48" s="87"/>
      <c r="I48" s="32">
        <f>IF(B47&lt;'Умови та класичний графік'!$J$14,I47-J48,"")</f>
        <v>9500000.0000000075</v>
      </c>
      <c r="J48" s="32">
        <f>IF(B47&lt;'Умови та класичний графік'!$J$14,J47,"")</f>
        <v>41666.666666666664</v>
      </c>
      <c r="K48" s="32">
        <f>IF(B47&lt;'Умови та класичний графік'!$J$14,((I47*'Умови та класичний графік'!$J$22)/365)*F48,"")</f>
        <v>174233.44748858461</v>
      </c>
      <c r="L48" s="30">
        <f>IF(B47&lt;'Умови та класичний графік'!$J$14,SUM(M48:V48),"")</f>
        <v>69000.000000000029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графік'!$J$14,('Умови та класичний графік'!$J$15*$N$20)+(I48*$N$21),"")</f>
        <v>69000.000000000029</v>
      </c>
      <c r="V48" s="41"/>
      <c r="W48" s="43">
        <f>IF(B47&lt;'Умови та класичний графік'!$J$14,XIRR($G$36:G48,$C$36:C48,0),"")</f>
        <v>-0.87034045925609771</v>
      </c>
      <c r="X48" s="42"/>
      <c r="Y48" s="35"/>
    </row>
    <row r="49" spans="2:25" x14ac:dyDescent="0.2">
      <c r="B49" s="25">
        <v>13</v>
      </c>
      <c r="C49" s="36">
        <f>IF(B48&lt;'Умови та класичний графік'!$J$14,EDATE(C48,1),"")</f>
        <v>44593</v>
      </c>
      <c r="D49" s="36">
        <f>IF(B48&lt;'Умови та класичний графік'!$J$14,C48,"")</f>
        <v>44562</v>
      </c>
      <c r="E49" s="26">
        <f>IF(B48&lt;'Умови та класичний графік'!$J$14,C49-1,"")</f>
        <v>44592</v>
      </c>
      <c r="F49" s="37">
        <f>IF(B48&lt;'Умови та класичний графік'!$J$14,E49-D49+1,"")</f>
        <v>31</v>
      </c>
      <c r="G49" s="86">
        <f>IF(B48&lt;'Умови та класичний графік'!$J$14,J49+K49+L49,"")</f>
        <v>215139.26940639282</v>
      </c>
      <c r="H49" s="87"/>
      <c r="I49" s="32">
        <f>IF(B48&lt;'Умови та класичний графік'!$J$14,I48-J49,"")</f>
        <v>9458333.3333333414</v>
      </c>
      <c r="J49" s="32">
        <f>IF(B48&lt;'Умови та класичний графік'!$J$14,J48,"")</f>
        <v>41666.666666666664</v>
      </c>
      <c r="K49" s="32">
        <f>IF(B48&lt;'Умови та класичний графік'!$J$14,((I48*'Умови та класичний графік'!$J$22)/365)*F49,"")</f>
        <v>173472.60273972616</v>
      </c>
      <c r="L49" s="30">
        <f>IF(B48&lt;'Умови та класичний графік'!$J$14,SUM(M49:V49),"")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графік'!$J$14,XIRR($G$36:G49,$C$36:C49,0),"")</f>
        <v>-0.8351369073816387</v>
      </c>
      <c r="X49" s="42"/>
      <c r="Y49" s="35"/>
    </row>
    <row r="50" spans="2:25" x14ac:dyDescent="0.2">
      <c r="B50" s="25">
        <v>14</v>
      </c>
      <c r="C50" s="36">
        <f>IF(B49&lt;'Умови та класичний графік'!$J$14,EDATE(C49,1),"")</f>
        <v>44621</v>
      </c>
      <c r="D50" s="36">
        <f>IF(B49&lt;'Умови та класичний графік'!$J$14,C49,"")</f>
        <v>44593</v>
      </c>
      <c r="E50" s="26">
        <f>IF(B49&lt;'Умови та класичний графік'!$J$14,C50-1,"")</f>
        <v>44620</v>
      </c>
      <c r="F50" s="37">
        <f>IF(B49&lt;'Умови та класичний графік'!$J$14,E50-D50+1,"")</f>
        <v>28</v>
      </c>
      <c r="G50" s="86">
        <f>IF(B49&lt;'Умови та класичний графік'!$J$14,J50+K50+L50,"")</f>
        <v>197664.38356164398</v>
      </c>
      <c r="H50" s="87"/>
      <c r="I50" s="32">
        <f>IF(B49&lt;'Умови та класичний графік'!$J$14,I49-J50,"")</f>
        <v>9416666.6666666754</v>
      </c>
      <c r="J50" s="32">
        <f>IF(B49&lt;'Умови та класичний графік'!$J$14,J49,"")</f>
        <v>41666.666666666664</v>
      </c>
      <c r="K50" s="32">
        <f>IF(B49&lt;'Умови та класичний графік'!$J$14,((I49*'Умови та класичний графік'!$J$22)/365)*F50,"")</f>
        <v>155997.71689497732</v>
      </c>
      <c r="L50" s="30">
        <f>IF(B49&lt;'Умови та класичний графік'!$J$14,SUM(M50:V50),"")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графік'!$J$14,XIRR($G$36:G50,$C$36:C50,0),"")</f>
        <v>-0.80085411512669147</v>
      </c>
      <c r="X50" s="42"/>
      <c r="Y50" s="35"/>
    </row>
    <row r="51" spans="2:25" x14ac:dyDescent="0.2">
      <c r="B51" s="25">
        <v>15</v>
      </c>
      <c r="C51" s="36">
        <f>IF(B50&lt;'Умови та класичний графік'!$J$14,EDATE(C50,1),"")</f>
        <v>44652</v>
      </c>
      <c r="D51" s="36">
        <f>IF(B50&lt;'Умови та класичний графік'!$J$14,C50,"")</f>
        <v>44621</v>
      </c>
      <c r="E51" s="26">
        <f>IF(B50&lt;'Умови та класичний графік'!$J$14,C51-1,"")</f>
        <v>44651</v>
      </c>
      <c r="F51" s="37">
        <f>IF(B50&lt;'Умови та класичний графік'!$J$14,E51-D51+1,"")</f>
        <v>31</v>
      </c>
      <c r="G51" s="86">
        <f>IF(B50&lt;'Умови та класичний графік'!$J$14,J51+K51+L51,"")</f>
        <v>213617.57990867592</v>
      </c>
      <c r="H51" s="87"/>
      <c r="I51" s="32">
        <f>IF(B50&lt;'Умови та класичний графік'!$J$14,I50-J51,"")</f>
        <v>9375000.0000000093</v>
      </c>
      <c r="J51" s="32">
        <f>IF(B50&lt;'Умови та класичний графік'!$J$14,J50,"")</f>
        <v>41666.666666666664</v>
      </c>
      <c r="K51" s="32">
        <f>IF(B50&lt;'Умови та класичний графік'!$J$14,((I50*'Умови та класичний графік'!$J$22)/365)*F51,"")</f>
        <v>171950.91324200926</v>
      </c>
      <c r="L51" s="30">
        <f>IF(B50&lt;'Умови та класичний графік'!$J$14,SUM(M51:V51),"")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графік'!$J$14,XIRR($G$36:G51,$C$36:C51,0),"")</f>
        <v>-0.76202668924305605</v>
      </c>
      <c r="X51" s="42"/>
      <c r="Y51" s="35"/>
    </row>
    <row r="52" spans="2:25" x14ac:dyDescent="0.2">
      <c r="B52" s="25">
        <v>16</v>
      </c>
      <c r="C52" s="36">
        <f>IF(B51&lt;'Умови та класичний графік'!$J$14,EDATE(C51,1),"")</f>
        <v>44682</v>
      </c>
      <c r="D52" s="36">
        <f>IF(B51&lt;'Умови та класичний графік'!$J$14,C51,"")</f>
        <v>44652</v>
      </c>
      <c r="E52" s="26">
        <f>IF(B51&lt;'Умови та класичний графік'!$J$14,C52-1,"")</f>
        <v>44681</v>
      </c>
      <c r="F52" s="37">
        <f>IF(B51&lt;'Умови та класичний графік'!$J$14,E52-D52+1,"")</f>
        <v>30</v>
      </c>
      <c r="G52" s="86">
        <f>IF(B51&lt;'Умови та класичний графік'!$J$14,J52+K52+L52,"")</f>
        <v>207334.47488584489</v>
      </c>
      <c r="H52" s="87"/>
      <c r="I52" s="32">
        <f>IF(B51&lt;'Умови та класичний графік'!$J$14,I51-J52,"")</f>
        <v>9333333.3333333433</v>
      </c>
      <c r="J52" s="32">
        <f>IF(B51&lt;'Умови та класичний графік'!$J$14,J51,"")</f>
        <v>41666.666666666664</v>
      </c>
      <c r="K52" s="32">
        <f>IF(B51&lt;'Умови та класичний графік'!$J$14,((I51*'Умови та класичний графік'!$J$22)/365)*F52,"")</f>
        <v>165667.80821917823</v>
      </c>
      <c r="L52" s="30">
        <f>IF(B51&lt;'Умови та класичний графік'!$J$14,SUM(M52:V52),"")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графік'!$J$14,XIRR($G$36:G52,$C$36:C52,0),"")</f>
        <v>-0.72357568527866145</v>
      </c>
      <c r="X52" s="42"/>
      <c r="Y52" s="35"/>
    </row>
    <row r="53" spans="2:25" x14ac:dyDescent="0.2">
      <c r="B53" s="25">
        <v>17</v>
      </c>
      <c r="C53" s="36">
        <f>IF(B52&lt;'Умови та класичний графік'!$J$14,EDATE(C52,1),"")</f>
        <v>44713</v>
      </c>
      <c r="D53" s="36">
        <f>IF(B52&lt;'Умови та класичний графік'!$J$14,C52,"")</f>
        <v>44682</v>
      </c>
      <c r="E53" s="26">
        <f>IF(B52&lt;'Умови та класичний графік'!$J$14,C53-1,"")</f>
        <v>44712</v>
      </c>
      <c r="F53" s="37">
        <f>IF(B52&lt;'Умови та класичний графік'!$J$14,E53-D53+1,"")</f>
        <v>31</v>
      </c>
      <c r="G53" s="86">
        <f>IF(B52&lt;'Умови та класичний графік'!$J$14,J53+K53+L53,"")</f>
        <v>212095.89041095908</v>
      </c>
      <c r="H53" s="87"/>
      <c r="I53" s="32">
        <f>IF(B52&lt;'Умови та класичний графік'!$J$14,I52-J53,"")</f>
        <v>9291666.6666666772</v>
      </c>
      <c r="J53" s="32">
        <f>IF(B52&lt;'Умови та класичний графік'!$J$14,J52,"")</f>
        <v>41666.666666666664</v>
      </c>
      <c r="K53" s="32">
        <f>IF(B52&lt;'Умови та класичний графік'!$J$14,((I52*'Умови та класичний графік'!$J$22)/365)*F53,"")</f>
        <v>170429.22374429242</v>
      </c>
      <c r="L53" s="30">
        <f>IF(B52&lt;'Умови та класичний графік'!$J$14,SUM(M53:V53),"")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графік'!$J$14,XIRR($G$36:G53,$C$36:C53,0),"")</f>
        <v>-0.68391694682639081</v>
      </c>
      <c r="X53" s="42"/>
      <c r="Y53" s="35"/>
    </row>
    <row r="54" spans="2:25" x14ac:dyDescent="0.2">
      <c r="B54" s="25">
        <v>18</v>
      </c>
      <c r="C54" s="36">
        <f>IF(B53&lt;'Умови та класичний графік'!$J$14,EDATE(C53,1),"")</f>
        <v>44743</v>
      </c>
      <c r="D54" s="36">
        <f>IF(B53&lt;'Умови та класичний графік'!$J$14,C53,"")</f>
        <v>44713</v>
      </c>
      <c r="E54" s="26">
        <f>IF(B53&lt;'Умови та класичний графік'!$J$14,C54-1,"")</f>
        <v>44742</v>
      </c>
      <c r="F54" s="37">
        <f>IF(B53&lt;'Умови та класичний графік'!$J$14,E54-D54+1,"")</f>
        <v>30</v>
      </c>
      <c r="G54" s="86">
        <f>IF(B53&lt;'Умови та класичний графік'!$J$14,J54+K54+L54,"")</f>
        <v>205861.8721461189</v>
      </c>
      <c r="H54" s="87"/>
      <c r="I54" s="32">
        <f>IF(B53&lt;'Умови та класичний графік'!$J$14,I53-J54,"")</f>
        <v>9250000.0000000112</v>
      </c>
      <c r="J54" s="32">
        <f>IF(B53&lt;'Умови та класичний графік'!$J$14,J53,"")</f>
        <v>41666.666666666664</v>
      </c>
      <c r="K54" s="32">
        <f>IF(B53&lt;'Умови та класичний графік'!$J$14,((I53*'Умови та класичний графік'!$J$22)/365)*F54,"")</f>
        <v>164195.20547945224</v>
      </c>
      <c r="L54" s="30">
        <f>IF(B53&lt;'Умови та класичний графік'!$J$14,SUM(M54:V54),"")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графік'!$J$14,XIRR($G$36:G54,$C$36:C54,0),"")</f>
        <v>-0.64569360425136979</v>
      </c>
      <c r="X54" s="42"/>
      <c r="Y54" s="35"/>
    </row>
    <row r="55" spans="2:25" x14ac:dyDescent="0.2">
      <c r="B55" s="25">
        <v>19</v>
      </c>
      <c r="C55" s="36">
        <f>IF(B54&lt;'Умови та класичний графік'!$J$14,EDATE(C54,1),"")</f>
        <v>44774</v>
      </c>
      <c r="D55" s="36">
        <f>IF(B54&lt;'Умови та класичний графік'!$J$14,C54,"")</f>
        <v>44743</v>
      </c>
      <c r="E55" s="26">
        <f>IF(B54&lt;'Умови та класичний графік'!$J$14,C55-1,"")</f>
        <v>44773</v>
      </c>
      <c r="F55" s="37">
        <f>IF(B54&lt;'Умови та класичний графік'!$J$14,E55-D55+1,"")</f>
        <v>31</v>
      </c>
      <c r="G55" s="86">
        <f>IF(B54&lt;'Умови та класичний графік'!$J$14,J55+K55+L55,"")</f>
        <v>210574.20091324218</v>
      </c>
      <c r="H55" s="87"/>
      <c r="I55" s="32">
        <f>IF(B54&lt;'Умови та класичний графік'!$J$14,I54-J55,"")</f>
        <v>9208333.3333333451</v>
      </c>
      <c r="J55" s="32">
        <f>IF(B54&lt;'Умови та класичний графік'!$J$14,J54,"")</f>
        <v>41666.666666666664</v>
      </c>
      <c r="K55" s="32">
        <f>IF(B54&lt;'Умови та класичний графік'!$J$14,((I54*'Умови та класичний графік'!$J$22)/365)*F55,"")</f>
        <v>168907.53424657552</v>
      </c>
      <c r="L55" s="30">
        <f>IF(B54&lt;'Умови та класичний графік'!$J$14,SUM(M55:V55),"")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графік'!$J$14,XIRR($G$36:G55,$C$36:C55,0),"")</f>
        <v>-0.60711819173626602</v>
      </c>
      <c r="X55" s="42"/>
      <c r="Y55" s="35"/>
    </row>
    <row r="56" spans="2:25" x14ac:dyDescent="0.2">
      <c r="B56" s="25">
        <v>20</v>
      </c>
      <c r="C56" s="36">
        <f>IF(B55&lt;'Умови та класичний графік'!$J$14,EDATE(C55,1),"")</f>
        <v>44805</v>
      </c>
      <c r="D56" s="36">
        <f>IF(B55&lt;'Умови та класичний графік'!$J$14,C55,"")</f>
        <v>44774</v>
      </c>
      <c r="E56" s="26">
        <f>IF(B55&lt;'Умови та класичний графік'!$J$14,C56-1,"")</f>
        <v>44804</v>
      </c>
      <c r="F56" s="37">
        <f>IF(B55&lt;'Умови та класичний графік'!$J$14,E56-D56+1,"")</f>
        <v>31</v>
      </c>
      <c r="G56" s="86">
        <f>IF(B55&lt;'Умови та класичний графік'!$J$14,J56+K56+L56,"")</f>
        <v>209813.35616438376</v>
      </c>
      <c r="H56" s="87"/>
      <c r="I56" s="32">
        <f>IF(B55&lt;'Умови та класичний графік'!$J$14,I55-J56,"")</f>
        <v>9166666.6666666791</v>
      </c>
      <c r="J56" s="32">
        <f>IF(B55&lt;'Умови та класичний графік'!$J$14,J55,"")</f>
        <v>41666.666666666664</v>
      </c>
      <c r="K56" s="32">
        <f>IF(B55&lt;'Умови та класичний графік'!$J$14,((I55*'Умови та класичний графік'!$J$22)/365)*F56,"")</f>
        <v>168146.6894977171</v>
      </c>
      <c r="L56" s="30">
        <f>IF(B55&lt;'Умови та класичний графік'!$J$14,SUM(M56:V56),"")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графік'!$J$14,XIRR($G$36:G56,$C$36:C56,0),"")</f>
        <v>-0.56953707906104623</v>
      </c>
      <c r="X56" s="42"/>
      <c r="Y56" s="35"/>
    </row>
    <row r="57" spans="2:25" x14ac:dyDescent="0.2">
      <c r="B57" s="25">
        <v>21</v>
      </c>
      <c r="C57" s="36">
        <f>IF(B56&lt;'Умови та класичний графік'!$J$14,EDATE(C56,1),"")</f>
        <v>44835</v>
      </c>
      <c r="D57" s="36">
        <f>IF(B56&lt;'Умови та класичний графік'!$J$14,C56,"")</f>
        <v>44805</v>
      </c>
      <c r="E57" s="26">
        <f>IF(B56&lt;'Умови та класичний графік'!$J$14,C57-1,"")</f>
        <v>44834</v>
      </c>
      <c r="F57" s="37">
        <f>IF(B56&lt;'Умови та класичний графік'!$J$14,E57-D57+1,"")</f>
        <v>30</v>
      </c>
      <c r="G57" s="86">
        <f>IF(B56&lt;'Умови та класичний графік'!$J$14,J57+K57+L57,"")</f>
        <v>203652.9680365299</v>
      </c>
      <c r="H57" s="87"/>
      <c r="I57" s="32">
        <f>IF(B56&lt;'Умови та класичний графік'!$J$14,I56-J57,"")</f>
        <v>9125000.000000013</v>
      </c>
      <c r="J57" s="32">
        <f>IF(B56&lt;'Умови та класичний графік'!$J$14,J56,"")</f>
        <v>41666.666666666664</v>
      </c>
      <c r="K57" s="32">
        <f>IF(B56&lt;'Умови та класичний графік'!$J$14,((I56*'Умови та класичний графік'!$J$22)/365)*F57,"")</f>
        <v>161986.30136986324</v>
      </c>
      <c r="L57" s="30">
        <f>IF(B56&lt;'Умови та класичний графік'!$J$14,SUM(M57:V57),"")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графік'!$J$14,XIRR($G$36:G57,$C$36:C57,0),"")</f>
        <v>-0.5341106527473779</v>
      </c>
      <c r="X57" s="42"/>
      <c r="Y57" s="35"/>
    </row>
    <row r="58" spans="2:25" x14ac:dyDescent="0.2">
      <c r="B58" s="25">
        <v>22</v>
      </c>
      <c r="C58" s="36">
        <f>IF(B57&lt;'Умови та класичний графік'!$J$14,EDATE(C57,1),"")</f>
        <v>44866</v>
      </c>
      <c r="D58" s="36">
        <f>IF(B57&lt;'Умови та класичний графік'!$J$14,C57,"")</f>
        <v>44835</v>
      </c>
      <c r="E58" s="26">
        <f>IF(B57&lt;'Умови та класичний графік'!$J$14,C58-1,"")</f>
        <v>44865</v>
      </c>
      <c r="F58" s="37">
        <f>IF(B57&lt;'Умови та класичний графік'!$J$14,E58-D58+1,"")</f>
        <v>31</v>
      </c>
      <c r="G58" s="86">
        <f>IF(B57&lt;'Умови та класичний графік'!$J$14,J58+K58+L58,"")</f>
        <v>208291.66666666689</v>
      </c>
      <c r="H58" s="87"/>
      <c r="I58" s="32">
        <f>IF(B57&lt;'Умови та класичний графік'!$J$14,I57-J58,"")</f>
        <v>9083333.333333347</v>
      </c>
      <c r="J58" s="32">
        <f>IF(B57&lt;'Умови та класичний графік'!$J$14,J57,"")</f>
        <v>41666.666666666664</v>
      </c>
      <c r="K58" s="32">
        <f>IF(B57&lt;'Умови та класичний графік'!$J$14,((I57*'Умови та класичний графік'!$J$22)/365)*F58,"")</f>
        <v>166625.00000000023</v>
      </c>
      <c r="L58" s="30">
        <f>IF(B57&lt;'Умови та класичний графік'!$J$14,SUM(M58:V58),"")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графік'!$J$14,XIRR($G$36:G58,$C$36:C58,0),"")</f>
        <v>-0.49900492601789537</v>
      </c>
      <c r="X58" s="42"/>
      <c r="Y58" s="35"/>
    </row>
    <row r="59" spans="2:25" x14ac:dyDescent="0.2">
      <c r="B59" s="25">
        <v>23</v>
      </c>
      <c r="C59" s="36">
        <f>IF(B58&lt;'Умови та класичний графік'!$J$14,EDATE(C58,1),"")</f>
        <v>44896</v>
      </c>
      <c r="D59" s="36">
        <f>IF(B58&lt;'Умови та класичний графік'!$J$14,C58,"")</f>
        <v>44866</v>
      </c>
      <c r="E59" s="26">
        <f>IF(B58&lt;'Умови та класичний графік'!$J$14,C59-1,"")</f>
        <v>44895</v>
      </c>
      <c r="F59" s="37">
        <f>IF(B58&lt;'Умови та класичний графік'!$J$14,E59-D59+1,"")</f>
        <v>30</v>
      </c>
      <c r="G59" s="86">
        <f>IF(B58&lt;'Умови та класичний графік'!$J$14,J59+K59+L59,"")</f>
        <v>202180.36529680388</v>
      </c>
      <c r="H59" s="87"/>
      <c r="I59" s="32">
        <f>IF(B58&lt;'Умови та класичний графік'!$J$14,I58-J59,"")</f>
        <v>9041666.6666666809</v>
      </c>
      <c r="J59" s="32">
        <f>IF(B58&lt;'Умови та класичний графік'!$J$14,J58,"")</f>
        <v>41666.666666666664</v>
      </c>
      <c r="K59" s="32">
        <f>IF(B58&lt;'Умови та класичний графік'!$J$14,((I58*'Умови та класичний графік'!$J$22)/365)*F59,"")</f>
        <v>160513.69863013722</v>
      </c>
      <c r="L59" s="30">
        <f>IF(B58&lt;'Умови та класичний графік'!$J$14,SUM(M59:V59),"")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графік'!$J$14,XIRR($G$36:G59,$C$36:C59,0),"")</f>
        <v>-0.46617309374742211</v>
      </c>
      <c r="X59" s="42"/>
      <c r="Y59" s="35"/>
    </row>
    <row r="60" spans="2:25" x14ac:dyDescent="0.2">
      <c r="B60" s="25">
        <v>24</v>
      </c>
      <c r="C60" s="36">
        <f>IF(B59&lt;'Умови та класичний графік'!$J$14,EDATE(C59,1),"")</f>
        <v>44927</v>
      </c>
      <c r="D60" s="36">
        <f>IF(B59&lt;'Умови та класичний графік'!$J$14,C59,"")</f>
        <v>44896</v>
      </c>
      <c r="E60" s="26">
        <f>IF(B59&lt;'Умови та класичний графік'!$J$14,C60-1,"")</f>
        <v>44926</v>
      </c>
      <c r="F60" s="37">
        <f>IF(B59&lt;'Умови та класичний графік'!$J$14,E60-D60+1,"")</f>
        <v>31</v>
      </c>
      <c r="G60" s="86">
        <f>IF(B59&lt;'Умови та класичний графік'!$J$14,J60+K60+L60,"")</f>
        <v>274269.97716895002</v>
      </c>
      <c r="H60" s="87"/>
      <c r="I60" s="32">
        <f>IF(B59&lt;'Умови та класичний графік'!$J$14,I59-J60,"")</f>
        <v>9000000.0000000149</v>
      </c>
      <c r="J60" s="32">
        <f>IF(B59&lt;'Умови та класичний графік'!$J$14,J59,"")</f>
        <v>41666.666666666664</v>
      </c>
      <c r="K60" s="32">
        <f>IF(B59&lt;'Умови та класичний графік'!$J$14,((I59*'Умови та класичний графік'!$J$22)/365)*F60,"")</f>
        <v>165103.31050228333</v>
      </c>
      <c r="L60" s="30">
        <f>IF(B59&lt;'Умови та класичний графік'!$J$14,SUM(M60:V60),"")</f>
        <v>67500.000000000044</v>
      </c>
      <c r="M60" s="38"/>
      <c r="N60" s="39"/>
      <c r="O60" s="39"/>
      <c r="P60" s="32"/>
      <c r="Q60" s="40"/>
      <c r="R60" s="40"/>
      <c r="S60" s="41"/>
      <c r="T60" s="41"/>
      <c r="U60" s="33">
        <f>IF(B59&lt;'Умови та класичний графік'!$J$14,('Умови та класичний графік'!$J$15*$N$20)+(I60*$N$21),"")</f>
        <v>67500.000000000044</v>
      </c>
      <c r="V60" s="41"/>
      <c r="W60" s="43">
        <f>IF(B59&lt;'Умови та класичний графік'!$J$14,XIRR($G$36:G60,$C$36:C60,0),"")</f>
        <v>-0.42390066560484474</v>
      </c>
      <c r="X60" s="42"/>
      <c r="Y60" s="35"/>
    </row>
    <row r="61" spans="2:25" x14ac:dyDescent="0.2">
      <c r="B61" s="25">
        <v>25</v>
      </c>
      <c r="C61" s="36">
        <f>IF(B60&lt;'Умови та класичний графік'!$J$14,EDATE(C60,1),"")</f>
        <v>44958</v>
      </c>
      <c r="D61" s="36">
        <f>IF(B60&lt;'Умови та класичний графік'!$J$14,C60,"")</f>
        <v>44927</v>
      </c>
      <c r="E61" s="26">
        <f>IF(B60&lt;'Умови та класичний графік'!$J$14,C61-1,"")</f>
        <v>44957</v>
      </c>
      <c r="F61" s="37">
        <f>IF(B60&lt;'Умови та класичний графік'!$J$14,E61-D61+1,"")</f>
        <v>31</v>
      </c>
      <c r="G61" s="86">
        <f>IF(B60&lt;'Умови та класичний графік'!$J$14,J61+K61+L61,"")</f>
        <v>206009.1324200916</v>
      </c>
      <c r="H61" s="87"/>
      <c r="I61" s="32">
        <f>IF(B60&lt;'Умови та класичний графік'!$J$14,I60-J61,"")</f>
        <v>8958333.3333333489</v>
      </c>
      <c r="J61" s="32">
        <f>IF(B60&lt;'Умови та класичний графік'!$J$14,J60,"")</f>
        <v>41666.666666666664</v>
      </c>
      <c r="K61" s="32">
        <f>IF(B60&lt;'Умови та класичний графік'!$J$14,((I60*'Умови та класичний графік'!$J$22)/365)*F61,"")</f>
        <v>164342.46575342494</v>
      </c>
      <c r="L61" s="30">
        <f>IF(B60&lt;'Умови та класичний графік'!$J$14,SUM(M61:V61),"")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графік'!$J$14,XIRR($G$36:G61,$C$36:C61,0),"")</f>
        <v>-0.39380708803601561</v>
      </c>
      <c r="X61" s="42"/>
      <c r="Y61" s="35"/>
    </row>
    <row r="62" spans="2:25" x14ac:dyDescent="0.2">
      <c r="B62" s="25">
        <v>26</v>
      </c>
      <c r="C62" s="36">
        <f>IF(B61&lt;'Умови та класичний графік'!$J$14,EDATE(C61,1),"")</f>
        <v>44986</v>
      </c>
      <c r="D62" s="36">
        <f>IF(B61&lt;'Умови та класичний графік'!$J$14,C61,"")</f>
        <v>44958</v>
      </c>
      <c r="E62" s="26">
        <f>IF(B61&lt;'Умови та класичний графік'!$J$14,C62-1,"")</f>
        <v>44985</v>
      </c>
      <c r="F62" s="37">
        <f>IF(B61&lt;'Умови та класичний графік'!$J$14,E62-D62+1,"")</f>
        <v>28</v>
      </c>
      <c r="G62" s="86">
        <f>IF(B61&lt;'Умови та класичний графік'!$J$14,J62+K62+L62,"")</f>
        <v>189417.80821917832</v>
      </c>
      <c r="H62" s="87"/>
      <c r="I62" s="32">
        <f>IF(B61&lt;'Умови та класичний графік'!$J$14,I61-J62,"")</f>
        <v>8916666.6666666828</v>
      </c>
      <c r="J62" s="32">
        <f>IF(B61&lt;'Умови та класичний графік'!$J$14,J61,"")</f>
        <v>41666.666666666664</v>
      </c>
      <c r="K62" s="32">
        <f>IF(B61&lt;'Умови та класичний графік'!$J$14,((I61*'Умови та класичний графік'!$J$22)/365)*F62,"")</f>
        <v>147751.14155251166</v>
      </c>
      <c r="L62" s="30">
        <f>IF(B61&lt;'Умови та класичний графік'!$J$14,SUM(M62:V62),"")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графік'!$J$14,XIRR($G$36:G62,$C$36:C62,0),"")</f>
        <v>-0.36726281236089764</v>
      </c>
      <c r="X62" s="42"/>
      <c r="Y62" s="35"/>
    </row>
    <row r="63" spans="2:25" x14ac:dyDescent="0.2">
      <c r="B63" s="25">
        <v>27</v>
      </c>
      <c r="C63" s="36">
        <f>IF(B62&lt;'Умови та класичний графік'!$J$14,EDATE(C62,1),"")</f>
        <v>45017</v>
      </c>
      <c r="D63" s="36">
        <f>IF(B62&lt;'Умови та класичний графік'!$J$14,C62,"")</f>
        <v>44986</v>
      </c>
      <c r="E63" s="26">
        <f>IF(B62&lt;'Умови та класичний графік'!$J$14,C63-1,"")</f>
        <v>45016</v>
      </c>
      <c r="F63" s="37">
        <f>IF(B62&lt;'Умови та класичний графік'!$J$14,E63-D63+1,"")</f>
        <v>31</v>
      </c>
      <c r="G63" s="86">
        <f>IF(B62&lt;'Умови та класичний графік'!$J$14,J63+K63+L63,"")</f>
        <v>204487.44292237473</v>
      </c>
      <c r="H63" s="87"/>
      <c r="I63" s="32">
        <f>IF(B62&lt;'Умови та класичний графік'!$J$14,I62-J63,"")</f>
        <v>8875000.0000000168</v>
      </c>
      <c r="J63" s="32">
        <f>IF(B62&lt;'Умови та класичний графік'!$J$14,J62,"")</f>
        <v>41666.666666666664</v>
      </c>
      <c r="K63" s="32">
        <f>IF(B62&lt;'Умови та класичний графік'!$J$14,((I62*'Умови та класичний графік'!$J$22)/365)*F63,"")</f>
        <v>162820.77625570807</v>
      </c>
      <c r="L63" s="30">
        <f>IF(B62&lt;'Умови та класичний графік'!$J$14,SUM(M63:V63),"")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графік'!$J$14,XIRR($G$36:G63,$C$36:C63,0),"")</f>
        <v>-0.33970970835901793</v>
      </c>
      <c r="X63" s="42"/>
      <c r="Y63" s="35"/>
    </row>
    <row r="64" spans="2:25" x14ac:dyDescent="0.2">
      <c r="B64" s="25">
        <v>28</v>
      </c>
      <c r="C64" s="36">
        <f>IF(B63&lt;'Умови та класичний графік'!$J$14,EDATE(C63,1),"")</f>
        <v>45047</v>
      </c>
      <c r="D64" s="36">
        <f>IF(B63&lt;'Умови та класичний графік'!$J$14,C63,"")</f>
        <v>45017</v>
      </c>
      <c r="E64" s="26">
        <f>IF(B63&lt;'Умови та класичний графік'!$J$14,C64-1,"")</f>
        <v>45046</v>
      </c>
      <c r="F64" s="37">
        <f>IF(B63&lt;'Умови та класичний графік'!$J$14,E64-D64+1,"")</f>
        <v>30</v>
      </c>
      <c r="G64" s="86">
        <f>IF(B63&lt;'Умови та класичний графік'!$J$14,J64+K64+L64,"")</f>
        <v>198498.85844748886</v>
      </c>
      <c r="H64" s="87"/>
      <c r="I64" s="32">
        <f>IF(B63&lt;'Умови та класичний графік'!$J$14,I63-J64,"")</f>
        <v>8833333.3333333507</v>
      </c>
      <c r="J64" s="32">
        <f>IF(B63&lt;'Умови та класичний графік'!$J$14,J63,"")</f>
        <v>41666.666666666664</v>
      </c>
      <c r="K64" s="32">
        <f>IF(B63&lt;'Умови та класичний графік'!$J$14,((I63*'Умови та класичний графік'!$J$22)/365)*F64,"")</f>
        <v>156832.19178082221</v>
      </c>
      <c r="L64" s="30">
        <f>IF(B63&lt;'Умови та класичний графік'!$J$14,SUM(M64:V64),"")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графік'!$J$14,XIRR($G$36:G64,$C$36:C64,0),"")</f>
        <v>-0.31411638547934595</v>
      </c>
      <c r="X64" s="42"/>
      <c r="Y64" s="35"/>
    </row>
    <row r="65" spans="2:25" x14ac:dyDescent="0.2">
      <c r="B65" s="25">
        <v>29</v>
      </c>
      <c r="C65" s="36">
        <f>IF(B64&lt;'Умови та класичний графік'!$J$14,EDATE(C64,1),"")</f>
        <v>45078</v>
      </c>
      <c r="D65" s="36">
        <f>IF(B64&lt;'Умови та класичний графік'!$J$14,C64,"")</f>
        <v>45047</v>
      </c>
      <c r="E65" s="26">
        <f>IF(B64&lt;'Умови та класичний графік'!$J$14,C65-1,"")</f>
        <v>45077</v>
      </c>
      <c r="F65" s="37">
        <f>IF(B64&lt;'Умови та класичний графік'!$J$14,E65-D65+1,"")</f>
        <v>31</v>
      </c>
      <c r="G65" s="86">
        <f>IF(B64&lt;'Умови та класичний графік'!$J$14,J65+K65+L65,"")</f>
        <v>202965.75342465786</v>
      </c>
      <c r="H65" s="87"/>
      <c r="I65" s="32">
        <f>IF(B64&lt;'Умови та класичний графік'!$J$14,I64-J65,"")</f>
        <v>8791666.6666666847</v>
      </c>
      <c r="J65" s="32">
        <f>IF(B64&lt;'Умови та класичний графік'!$J$14,J64,"")</f>
        <v>41666.666666666664</v>
      </c>
      <c r="K65" s="32">
        <f>IF(B64&lt;'Умови та класичний графік'!$J$14,((I64*'Умови та класичний графік'!$J$22)/365)*F65,"")</f>
        <v>161299.0867579912</v>
      </c>
      <c r="L65" s="30">
        <f>IF(B64&lt;'Умови та класичний графік'!$J$14,SUM(M65:V65),"")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графік'!$J$14,XIRR($G$36:G65,$C$36:C65,0),"")</f>
        <v>-0.28907457886256271</v>
      </c>
      <c r="X65" s="42"/>
      <c r="Y65" s="35"/>
    </row>
    <row r="66" spans="2:25" x14ac:dyDescent="0.2">
      <c r="B66" s="25">
        <v>30</v>
      </c>
      <c r="C66" s="36">
        <f>IF(B65&lt;'Умови та класичний графік'!$J$14,EDATE(C65,1),"")</f>
        <v>45108</v>
      </c>
      <c r="D66" s="36">
        <f>IF(B65&lt;'Умови та класичний графік'!$J$14,C65,"")</f>
        <v>45078</v>
      </c>
      <c r="E66" s="26">
        <f>IF(B65&lt;'Умови та класичний графік'!$J$14,C66-1,"")</f>
        <v>45107</v>
      </c>
      <c r="F66" s="37">
        <f>IF(B65&lt;'Умови та класичний графік'!$J$14,E66-D66+1,"")</f>
        <v>30</v>
      </c>
      <c r="G66" s="86">
        <f>IF(B65&lt;'Умови та класичний графік'!$J$14,J66+K66+L66,"")</f>
        <v>197026.25570776287</v>
      </c>
      <c r="H66" s="87"/>
      <c r="I66" s="32">
        <f>IF(B65&lt;'Умови та класичний графік'!$J$14,I65-J66,"")</f>
        <v>8750000.0000000186</v>
      </c>
      <c r="J66" s="32">
        <f>IF(B65&lt;'Умови та класичний графік'!$J$14,J65,"")</f>
        <v>41666.666666666664</v>
      </c>
      <c r="K66" s="32">
        <f>IF(B65&lt;'Умови та класичний графік'!$J$14,((I65*'Умови та класичний графік'!$J$22)/365)*F66,"")</f>
        <v>155359.58904109622</v>
      </c>
      <c r="L66" s="30">
        <f>IF(B65&lt;'Умови та класичний графік'!$J$14,SUM(M66:V66),"")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графік'!$J$14,XIRR($G$36:G66,$C$36:C66,0),"")</f>
        <v>-0.26585436138100926</v>
      </c>
      <c r="X66" s="42"/>
      <c r="Y66" s="35"/>
    </row>
    <row r="67" spans="2:25" x14ac:dyDescent="0.2">
      <c r="B67" s="25">
        <v>31</v>
      </c>
      <c r="C67" s="36">
        <f>IF(B66&lt;'Умови та класичний графік'!$J$14,EDATE(C66,1),"")</f>
        <v>45139</v>
      </c>
      <c r="D67" s="36">
        <f>IF(B66&lt;'Умови та класичний графік'!$J$14,C66,"")</f>
        <v>45108</v>
      </c>
      <c r="E67" s="26">
        <f>IF(B66&lt;'Умови та класичний графік'!$J$14,C67-1,"")</f>
        <v>45138</v>
      </c>
      <c r="F67" s="37">
        <f>IF(B66&lt;'Умови та класичний графік'!$J$14,E67-D67+1,"")</f>
        <v>31</v>
      </c>
      <c r="G67" s="86">
        <f>IF(B66&lt;'Умови та класичний графік'!$J$14,J67+K67+L67,"")</f>
        <v>201444.06392694099</v>
      </c>
      <c r="H67" s="87"/>
      <c r="I67" s="32">
        <f>IF(B66&lt;'Умови та класичний графік'!$J$14,I66-J67,"")</f>
        <v>8708333.3333333526</v>
      </c>
      <c r="J67" s="32">
        <f>IF(B66&lt;'Умови та класичний графік'!$J$14,J66,"")</f>
        <v>41666.666666666664</v>
      </c>
      <c r="K67" s="32">
        <f>IF(B66&lt;'Умови та класичний графік'!$J$14,((I66*'Умови та класичний графік'!$J$22)/365)*F67,"")</f>
        <v>159777.39726027433</v>
      </c>
      <c r="L67" s="30">
        <f>IF(B66&lt;'Умови та класичний графік'!$J$14,SUM(M67:V67),"")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графік'!$J$14,XIRR($G$36:G67,$C$36:C67,0),"")</f>
        <v>-0.24316926532369104</v>
      </c>
      <c r="X67" s="42"/>
      <c r="Y67" s="35"/>
    </row>
    <row r="68" spans="2:25" x14ac:dyDescent="0.2">
      <c r="B68" s="25">
        <v>32</v>
      </c>
      <c r="C68" s="36">
        <f>IF(B67&lt;'Умови та класичний графік'!$J$14,EDATE(C67,1),"")</f>
        <v>45170</v>
      </c>
      <c r="D68" s="36">
        <f>IF(B67&lt;'Умови та класичний графік'!$J$14,C67,"")</f>
        <v>45139</v>
      </c>
      <c r="E68" s="26">
        <f>IF(B67&lt;'Умови та класичний графік'!$J$14,C68-1,"")</f>
        <v>45169</v>
      </c>
      <c r="F68" s="37">
        <f>IF(B67&lt;'Умови та класичний графік'!$J$14,E68-D68+1,"")</f>
        <v>31</v>
      </c>
      <c r="G68" s="86">
        <f>IF(B67&lt;'Умови та класичний графік'!$J$14,J68+K68+L68,"")</f>
        <v>200683.21917808251</v>
      </c>
      <c r="H68" s="87"/>
      <c r="I68" s="32">
        <f>IF(B67&lt;'Умови та класичний графік'!$J$14,I67-J68,"")</f>
        <v>8666666.6666666865</v>
      </c>
      <c r="J68" s="32">
        <f>IF(B67&lt;'Умови та класичний графік'!$J$14,J67,"")</f>
        <v>41666.666666666664</v>
      </c>
      <c r="K68" s="32">
        <f>IF(B67&lt;'Умови та класичний графік'!$J$14,((I67*'Умови та класичний графік'!$J$22)/365)*F68,"")</f>
        <v>159016.55251141585</v>
      </c>
      <c r="L68" s="30">
        <f>IF(B67&lt;'Умови та класичний графік'!$J$14,SUM(M68:V68),"")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графік'!$J$14,XIRR($G$36:G68,$C$36:C68,0),"")</f>
        <v>-0.2216049749744311</v>
      </c>
      <c r="X68" s="42"/>
      <c r="Y68" s="35"/>
    </row>
    <row r="69" spans="2:25" x14ac:dyDescent="0.2">
      <c r="B69" s="25">
        <v>33</v>
      </c>
      <c r="C69" s="36">
        <f>IF(B68&lt;'Умови та класичний графік'!$J$14,EDATE(C68,1),"")</f>
        <v>45200</v>
      </c>
      <c r="D69" s="36">
        <f>IF(B68&lt;'Умови та класичний графік'!$J$14,C68,"")</f>
        <v>45170</v>
      </c>
      <c r="E69" s="26">
        <f>IF(B68&lt;'Умови та класичний графік'!$J$14,C69-1,"")</f>
        <v>45199</v>
      </c>
      <c r="F69" s="37">
        <f>IF(B68&lt;'Умови та класичний графік'!$J$14,E69-D69+1,"")</f>
        <v>30</v>
      </c>
      <c r="G69" s="86">
        <f>IF(B68&lt;'Умови та класичний графік'!$J$14,J69+K69+L69,"")</f>
        <v>194817.35159817385</v>
      </c>
      <c r="H69" s="87"/>
      <c r="I69" s="32">
        <f>IF(B68&lt;'Умови та класичний графік'!$J$14,I68-J69,"")</f>
        <v>8625000.0000000205</v>
      </c>
      <c r="J69" s="32">
        <f>IF(B68&lt;'Умови та класичний графік'!$J$14,J68,"")</f>
        <v>41666.666666666664</v>
      </c>
      <c r="K69" s="32">
        <f>IF(B68&lt;'Умови та класичний графік'!$J$14,((I68*'Умови та класичний графік'!$J$22)/365)*F69,"")</f>
        <v>153150.68493150719</v>
      </c>
      <c r="L69" s="30">
        <f>IF(B68&lt;'Умови та класичний графік'!$J$14,SUM(M69:V69),"")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графік'!$J$14,XIRR($G$36:G69,$C$36:C69,0),"")</f>
        <v>-0.20163024264920504</v>
      </c>
      <c r="X69" s="42"/>
      <c r="Y69" s="35"/>
    </row>
    <row r="70" spans="2:25" x14ac:dyDescent="0.2">
      <c r="B70" s="25">
        <v>34</v>
      </c>
      <c r="C70" s="36">
        <f>IF(B69&lt;'Умови та класичний графік'!$J$14,EDATE(C69,1),"")</f>
        <v>45231</v>
      </c>
      <c r="D70" s="36">
        <f>IF(B69&lt;'Умови та класичний графік'!$J$14,C69,"")</f>
        <v>45200</v>
      </c>
      <c r="E70" s="26">
        <f>IF(B69&lt;'Умови та класичний графік'!$J$14,C70-1,"")</f>
        <v>45230</v>
      </c>
      <c r="F70" s="37">
        <f>IF(B69&lt;'Умови та класичний графік'!$J$14,E70-D70+1,"")</f>
        <v>31</v>
      </c>
      <c r="G70" s="86">
        <f>IF(B69&lt;'Умови та класичний графік'!$J$14,J70+K70+L70,"")</f>
        <v>199161.52968036567</v>
      </c>
      <c r="H70" s="87"/>
      <c r="I70" s="32">
        <f>IF(B69&lt;'Умови та класичний графік'!$J$14,I69-J70,"")</f>
        <v>8583333.3333333544</v>
      </c>
      <c r="J70" s="32">
        <f>IF(B69&lt;'Умови та класичний графік'!$J$14,J69,"")</f>
        <v>41666.666666666664</v>
      </c>
      <c r="K70" s="32">
        <f>IF(B69&lt;'Умови та класичний графік'!$J$14,((I69*'Умови та класичний графік'!$J$22)/365)*F70,"")</f>
        <v>157494.86301369901</v>
      </c>
      <c r="L70" s="30">
        <f>IF(B69&lt;'Умови та класичний графік'!$J$14,SUM(M70:V70),"")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графік'!$J$14,XIRR($G$36:G70,$C$36:C70,0),"")</f>
        <v>-0.18213494294043631</v>
      </c>
      <c r="X70" s="42"/>
      <c r="Y70" s="35"/>
    </row>
    <row r="71" spans="2:25" x14ac:dyDescent="0.2">
      <c r="B71" s="25">
        <v>35</v>
      </c>
      <c r="C71" s="36">
        <f>IF(B70&lt;'Умови та класичний графік'!$J$14,EDATE(C70,1),"")</f>
        <v>45261</v>
      </c>
      <c r="D71" s="36">
        <f>IF(B70&lt;'Умови та класичний графік'!$J$14,C70,"")</f>
        <v>45231</v>
      </c>
      <c r="E71" s="26">
        <f>IF(B70&lt;'Умови та класичний графік'!$J$14,C71-1,"")</f>
        <v>45260</v>
      </c>
      <c r="F71" s="37">
        <f>IF(B70&lt;'Умови та класичний графік'!$J$14,E71-D71+1,"")</f>
        <v>30</v>
      </c>
      <c r="G71" s="86">
        <f>IF(B70&lt;'Умови та класичний графік'!$J$14,J71+K71+L71,"")</f>
        <v>193344.74885844786</v>
      </c>
      <c r="H71" s="87"/>
      <c r="I71" s="32">
        <f>IF(B70&lt;'Умови та класичний графік'!$J$14,I70-J71,"")</f>
        <v>8541666.6666666884</v>
      </c>
      <c r="J71" s="32">
        <f>IF(B70&lt;'Умови та класичний графік'!$J$14,J70,"")</f>
        <v>41666.666666666664</v>
      </c>
      <c r="K71" s="32">
        <f>IF(B70&lt;'Умови та класичний графік'!$J$14,((I70*'Умови та класичний графік'!$J$22)/365)*F71,"")</f>
        <v>151678.0821917812</v>
      </c>
      <c r="L71" s="30">
        <f>IF(B70&lt;'Умови та класичний графік'!$J$14,SUM(M71:V71),"")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графік'!$J$14,XIRR($G$36:G71,$C$36:C71,0),"")</f>
        <v>-0.16407713642638178</v>
      </c>
      <c r="X71" s="42"/>
      <c r="Y71" s="35"/>
    </row>
    <row r="72" spans="2:25" x14ac:dyDescent="0.2">
      <c r="B72" s="25">
        <v>36</v>
      </c>
      <c r="C72" s="36">
        <f>IF(B71&lt;'Умови та класичний графік'!$J$14,EDATE(C71,1),"")</f>
        <v>45292</v>
      </c>
      <c r="D72" s="36">
        <f>IF(B71&lt;'Умови та класичний графік'!$J$14,C71,"")</f>
        <v>45261</v>
      </c>
      <c r="E72" s="26">
        <f>IF(B71&lt;'Умови та класичний графік'!$J$14,C72-1,"")</f>
        <v>45291</v>
      </c>
      <c r="F72" s="37">
        <f>IF(B71&lt;'Умови та класичний графік'!$J$14,E72-D72+1,"")</f>
        <v>31</v>
      </c>
      <c r="G72" s="86">
        <f>IF(B71&lt;'Умови та класичний графік'!$J$14,J72+K72+L72,"")</f>
        <v>263639.84018264886</v>
      </c>
      <c r="H72" s="87"/>
      <c r="I72" s="32">
        <f>IF(B71&lt;'Умови та класичний графік'!$J$14,I71-J72,"")</f>
        <v>8500000.0000000224</v>
      </c>
      <c r="J72" s="32">
        <f>IF(B71&lt;'Умови та класичний графік'!$J$14,J71,"")</f>
        <v>41666.666666666664</v>
      </c>
      <c r="K72" s="32">
        <f>IF(B71&lt;'Умови та класичний графік'!$J$14,((I71*'Умови та класичний графік'!$J$22)/365)*F72,"")</f>
        <v>155973.17351598211</v>
      </c>
      <c r="L72" s="30">
        <f>IF(B71&lt;'Умови та класичний графік'!$J$14,SUM(M72:V72),"")</f>
        <v>66000.000000000073</v>
      </c>
      <c r="M72" s="38"/>
      <c r="N72" s="39"/>
      <c r="O72" s="39"/>
      <c r="P72" s="32"/>
      <c r="Q72" s="40"/>
      <c r="R72" s="40"/>
      <c r="S72" s="41"/>
      <c r="T72" s="41"/>
      <c r="U72" s="33">
        <f>IF(B71&lt;'Умови та класичний графік'!$J$14,('Умови та класичний графік'!$J$15*$N$20)+(I72*$N$21),"")</f>
        <v>66000.000000000073</v>
      </c>
      <c r="V72" s="41"/>
      <c r="W72" s="43">
        <f>IF(B71&lt;'Умови та класичний графік'!$J$14,XIRR($G$36:G72,$C$36:C72,0),"")</f>
        <v>-0.1408000641328469</v>
      </c>
      <c r="X72" s="42"/>
      <c r="Y72" s="35"/>
    </row>
    <row r="73" spans="2:25" x14ac:dyDescent="0.2">
      <c r="B73" s="25">
        <v>37</v>
      </c>
      <c r="C73" s="36">
        <f>IF(B72&lt;'Умови та класичний графік'!$J$14,EDATE(C72,1),"")</f>
        <v>45323</v>
      </c>
      <c r="D73" s="36">
        <f>IF(B72&lt;'Умови та класичний графік'!$J$14,C72,"")</f>
        <v>45292</v>
      </c>
      <c r="E73" s="26">
        <f>IF(B72&lt;'Умови та класичний графік'!$J$14,C73-1,"")</f>
        <v>45322</v>
      </c>
      <c r="F73" s="37">
        <f>IF(B72&lt;'Умови та класичний графік'!$J$14,E73-D73+1,"")</f>
        <v>31</v>
      </c>
      <c r="G73" s="86">
        <f>IF(B72&lt;'Умови та класичний графік'!$J$14,J73+K73+L73,"")</f>
        <v>196878.99543379035</v>
      </c>
      <c r="H73" s="87"/>
      <c r="I73" s="32">
        <f>IF(B72&lt;'Умови та класичний графік'!$J$14,I72-J73,"")</f>
        <v>8458333.3333333563</v>
      </c>
      <c r="J73" s="32">
        <f>IF(B72&lt;'Умови та класичний графік'!$J$14,J72,"")</f>
        <v>41666.666666666664</v>
      </c>
      <c r="K73" s="32">
        <f>IF(B72&lt;'Умови та класичний графік'!$J$14,((I72*'Умови та класичний графік'!$J$22)/365)*F73,"")</f>
        <v>155212.32876712369</v>
      </c>
      <c r="L73" s="30">
        <f>IF(B72&lt;'Умови та класичний графік'!$J$14,SUM(M73:V73),"")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графік'!$J$14,XIRR($G$36:G73,$C$36:C73,0),"")</f>
        <v>-0.12436543232630939</v>
      </c>
      <c r="X73" s="42"/>
      <c r="Y73" s="35"/>
    </row>
    <row r="74" spans="2:25" x14ac:dyDescent="0.2">
      <c r="B74" s="25">
        <v>38</v>
      </c>
      <c r="C74" s="36">
        <f>IF(B73&lt;'Умови та класичний графік'!$J$14,EDATE(C73,1),"")</f>
        <v>45352</v>
      </c>
      <c r="D74" s="36">
        <f>IF(B73&lt;'Умови та класичний графік'!$J$14,C73,"")</f>
        <v>45323</v>
      </c>
      <c r="E74" s="26">
        <f>IF(B73&lt;'Умови та класичний графік'!$J$14,C74-1,"")</f>
        <v>45351</v>
      </c>
      <c r="F74" s="37">
        <f>IF(B73&lt;'Умови та класичний графік'!$J$14,E74-D74+1,"")</f>
        <v>29</v>
      </c>
      <c r="G74" s="86">
        <f>IF(B73&lt;'Умови та класичний графік'!$J$14,J74+K74+L74,"")</f>
        <v>186153.53881278579</v>
      </c>
      <c r="H74" s="87"/>
      <c r="I74" s="32">
        <f>IF(B73&lt;'Умови та класичний графік'!$J$14,I73-J74,"")</f>
        <v>8416666.6666666903</v>
      </c>
      <c r="J74" s="32">
        <f>IF(B73&lt;'Умови та класичний графік'!$J$14,J73,"")</f>
        <v>41666.666666666664</v>
      </c>
      <c r="K74" s="32">
        <f>IF(B73&lt;'Умови та класичний графік'!$J$14,((I73*'Умови та класичний графік'!$J$22)/365)*F74,"")</f>
        <v>144486.87214611913</v>
      </c>
      <c r="L74" s="30">
        <f>IF(B73&lt;'Умови та класичний графік'!$J$14,SUM(M74:V74),"")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графік'!$J$14,XIRR($G$36:G74,$C$36:C74,0),"")</f>
        <v>-0.10950916788365692</v>
      </c>
      <c r="X74" s="42"/>
      <c r="Y74" s="35"/>
    </row>
    <row r="75" spans="2:25" x14ac:dyDescent="0.2">
      <c r="B75" s="25">
        <v>39</v>
      </c>
      <c r="C75" s="36">
        <f>IF(B74&lt;'Умови та класичний графік'!$J$14,EDATE(C74,1),"")</f>
        <v>45383</v>
      </c>
      <c r="D75" s="36">
        <f>IF(B74&lt;'Умови та класичний графік'!$J$14,C74,"")</f>
        <v>45352</v>
      </c>
      <c r="E75" s="26">
        <f>IF(B74&lt;'Умови та класичний графік'!$J$14,C75-1,"")</f>
        <v>45382</v>
      </c>
      <c r="F75" s="37">
        <f>IF(B74&lt;'Умови та класичний графік'!$J$14,E75-D75+1,"")</f>
        <v>31</v>
      </c>
      <c r="G75" s="86">
        <f>IF(B74&lt;'Умови та класичний графік'!$J$14,J75+K75+L75,"")</f>
        <v>195357.30593607348</v>
      </c>
      <c r="H75" s="87"/>
      <c r="I75" s="32">
        <f>IF(B74&lt;'Умови та класичний графік'!$J$14,I74-J75,"")</f>
        <v>8375000.0000000233</v>
      </c>
      <c r="J75" s="32">
        <f>IF(B74&lt;'Умови та класичний графік'!$J$14,J74,"")</f>
        <v>41666.666666666664</v>
      </c>
      <c r="K75" s="32">
        <f>IF(B74&lt;'Умови та класичний графік'!$J$14,((I74*'Умови та класичний графік'!$J$22)/365)*F75,"")</f>
        <v>153690.63926940682</v>
      </c>
      <c r="L75" s="30">
        <f>IF(B74&lt;'Умови та класичний графік'!$J$14,SUM(M75:V75),"")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графік'!$J$14,XIRR($G$36:G75,$C$36:C75,0),"")</f>
        <v>-9.4591377161704016E-2</v>
      </c>
      <c r="X75" s="42"/>
      <c r="Y75" s="35"/>
    </row>
    <row r="76" spans="2:25" x14ac:dyDescent="0.2">
      <c r="B76" s="25">
        <v>40</v>
      </c>
      <c r="C76" s="36">
        <f>IF(B75&lt;'Умови та класичний графік'!$J$14,EDATE(C75,1),"")</f>
        <v>45413</v>
      </c>
      <c r="D76" s="36">
        <f>IF(B75&lt;'Умови та класичний графік'!$J$14,C75,"")</f>
        <v>45383</v>
      </c>
      <c r="E76" s="26">
        <f>IF(B75&lt;'Умови та класичний графік'!$J$14,C76-1,"")</f>
        <v>45412</v>
      </c>
      <c r="F76" s="37">
        <f>IF(B75&lt;'Умови та класичний графік'!$J$14,E76-D76+1,"")</f>
        <v>30</v>
      </c>
      <c r="G76" s="86">
        <f>IF(B75&lt;'Умови та класичний графік'!$J$14,J76+K76+L76,"")</f>
        <v>189663.24200913281</v>
      </c>
      <c r="H76" s="87"/>
      <c r="I76" s="32">
        <f>IF(B75&lt;'Умови та класичний графік'!$J$14,I75-J76,"")</f>
        <v>8333333.3333333563</v>
      </c>
      <c r="J76" s="32">
        <f>IF(B75&lt;'Умови та класичний графік'!$J$14,J75,"")</f>
        <v>41666.666666666664</v>
      </c>
      <c r="K76" s="32">
        <f>IF(B75&lt;'Умови та класичний графік'!$J$14,((I75*'Умови та класичний графік'!$J$22)/365)*F76,"")</f>
        <v>147996.57534246615</v>
      </c>
      <c r="L76" s="30">
        <f>IF(B75&lt;'Умови та класичний графік'!$J$14,SUM(M76:V76),"")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графік'!$J$14,XIRR($G$36:G76,$C$36:C76,0),"")</f>
        <v>-8.0745714266262952E-2</v>
      </c>
      <c r="X76" s="42"/>
      <c r="Y76" s="35"/>
    </row>
    <row r="77" spans="2:25" x14ac:dyDescent="0.2">
      <c r="B77" s="25">
        <v>41</v>
      </c>
      <c r="C77" s="36">
        <f>IF(B76&lt;'Умови та класичний графік'!$J$14,EDATE(C76,1),"")</f>
        <v>45444</v>
      </c>
      <c r="D77" s="36">
        <f>IF(B76&lt;'Умови та класичний графік'!$J$14,C76,"")</f>
        <v>45413</v>
      </c>
      <c r="E77" s="26">
        <f>IF(B76&lt;'Умови та класичний графік'!$J$14,C77-1,"")</f>
        <v>45443</v>
      </c>
      <c r="F77" s="37">
        <f>IF(B76&lt;'Умови та класичний графік'!$J$14,E77-D77+1,"")</f>
        <v>31</v>
      </c>
      <c r="G77" s="86">
        <f>IF(B76&lt;'Умови та класичний графік'!$J$14,J77+K77+L77,"")</f>
        <v>193835.61643835658</v>
      </c>
      <c r="H77" s="87"/>
      <c r="I77" s="32">
        <f>IF(B76&lt;'Умови та класичний графік'!$J$14,I76-J77,"")</f>
        <v>8291666.6666666893</v>
      </c>
      <c r="J77" s="32">
        <f>IF(B76&lt;'Умови та класичний графік'!$J$14,J76,"")</f>
        <v>41666.666666666664</v>
      </c>
      <c r="K77" s="32">
        <f>IF(B76&lt;'Умови та класичний графік'!$J$14,((I76*'Умови та класичний графік'!$J$22)/365)*F77,"")</f>
        <v>152168.94977168992</v>
      </c>
      <c r="L77" s="30">
        <f>IF(B76&lt;'Умови та класичний графік'!$J$14,SUM(M77:V77),"")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графік'!$J$14,XIRR($G$36:G77,$C$36:C77,0),"")</f>
        <v>-6.7211728392131631E-2</v>
      </c>
      <c r="X77" s="42"/>
      <c r="Y77" s="35"/>
    </row>
    <row r="78" spans="2:25" x14ac:dyDescent="0.2">
      <c r="B78" s="25">
        <v>42</v>
      </c>
      <c r="C78" s="36">
        <f>IF(B77&lt;'Умови та класичний графік'!$J$14,EDATE(C77,1),"")</f>
        <v>45474</v>
      </c>
      <c r="D78" s="36">
        <f>IF(B77&lt;'Умови та класичний графік'!$J$14,C77,"")</f>
        <v>45444</v>
      </c>
      <c r="E78" s="26">
        <f>IF(B77&lt;'Умови та класичний графік'!$J$14,C78-1,"")</f>
        <v>45473</v>
      </c>
      <c r="F78" s="37">
        <f>IF(B77&lt;'Умови та класичний графік'!$J$14,E78-D78+1,"")</f>
        <v>30</v>
      </c>
      <c r="G78" s="86">
        <f>IF(B77&lt;'Умови та класичний графік'!$J$14,J78+K78+L78,"")</f>
        <v>188190.63926940679</v>
      </c>
      <c r="H78" s="87"/>
      <c r="I78" s="32">
        <f>IF(B77&lt;'Умови та класичний графік'!$J$14,I77-J78,"")</f>
        <v>8250000.0000000224</v>
      </c>
      <c r="J78" s="32">
        <f>IF(B77&lt;'Умови та класичний графік'!$J$14,J77,"")</f>
        <v>41666.666666666664</v>
      </c>
      <c r="K78" s="32">
        <f>IF(B77&lt;'Умови та класичний графік'!$J$14,((I77*'Умови та класичний графік'!$J$22)/365)*F78,"")</f>
        <v>146523.97260274013</v>
      </c>
      <c r="L78" s="30">
        <f>IF(B77&lt;'Умови та класичний графік'!$J$14,SUM(M78:V78),"")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графік'!$J$14,XIRR($G$36:G78,$C$36:C78,0),"")</f>
        <v>-5.4643864543847745E-2</v>
      </c>
      <c r="X78" s="42"/>
      <c r="Y78" s="35"/>
    </row>
    <row r="79" spans="2:25" x14ac:dyDescent="0.2">
      <c r="B79" s="25">
        <v>43</v>
      </c>
      <c r="C79" s="36">
        <f>IF(B78&lt;'Умови та класичний графік'!$J$14,EDATE(C78,1),"")</f>
        <v>45505</v>
      </c>
      <c r="D79" s="36">
        <f>IF(B78&lt;'Умови та класичний графік'!$J$14,C78,"")</f>
        <v>45474</v>
      </c>
      <c r="E79" s="26">
        <f>IF(B78&lt;'Умови та класичний графік'!$J$14,C79-1,"")</f>
        <v>45504</v>
      </c>
      <c r="F79" s="37">
        <f>IF(B78&lt;'Умови та класичний графік'!$J$14,E79-D79+1,"")</f>
        <v>31</v>
      </c>
      <c r="G79" s="86">
        <f>IF(B78&lt;'Умови та класичний графік'!$J$14,J79+K79+L79,"")</f>
        <v>192313.92694063968</v>
      </c>
      <c r="H79" s="87"/>
      <c r="I79" s="32">
        <f>IF(B78&lt;'Умови та класичний графік'!$J$14,I78-J79,"")</f>
        <v>8208333.3333333554</v>
      </c>
      <c r="J79" s="32">
        <f>IF(B78&lt;'Умови та класичний графік'!$J$14,J78,"")</f>
        <v>41666.666666666664</v>
      </c>
      <c r="K79" s="32">
        <f>IF(B78&lt;'Умови та класичний графік'!$J$14,((I78*'Умови та класичний графік'!$J$22)/365)*F79,"")</f>
        <v>150647.26027397302</v>
      </c>
      <c r="L79" s="30">
        <f>IF(B78&lt;'Умови та класичний графік'!$J$14,SUM(M79:V79),"")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графік'!$J$14,XIRR($G$36:G79,$C$36:C79,0),"")</f>
        <v>-4.2354023780859999E-2</v>
      </c>
      <c r="X79" s="42"/>
      <c r="Y79" s="35"/>
    </row>
    <row r="80" spans="2:25" x14ac:dyDescent="0.2">
      <c r="B80" s="25">
        <v>44</v>
      </c>
      <c r="C80" s="36">
        <f>IF(B79&lt;'Умови та класичний графік'!$J$14,EDATE(C79,1),"")</f>
        <v>45536</v>
      </c>
      <c r="D80" s="36">
        <f>IF(B79&lt;'Умови та класичний графік'!$J$14,C79,"")</f>
        <v>45505</v>
      </c>
      <c r="E80" s="26">
        <f>IF(B79&lt;'Умови та класичний графік'!$J$14,C80-1,"")</f>
        <v>45535</v>
      </c>
      <c r="F80" s="37">
        <f>IF(B79&lt;'Умови та класичний графік'!$J$14,E80-D80+1,"")</f>
        <v>31</v>
      </c>
      <c r="G80" s="86">
        <f>IF(B79&lt;'Умови та класичний графік'!$J$14,J80+K80+L80,"")</f>
        <v>191553.08219178123</v>
      </c>
      <c r="H80" s="87"/>
      <c r="I80" s="32">
        <f>IF(B79&lt;'Умови та класичний графік'!$J$14,I79-J80,"")</f>
        <v>8166666.6666666884</v>
      </c>
      <c r="J80" s="32">
        <f>IF(B79&lt;'Умови та класичний графік'!$J$14,J79,"")</f>
        <v>41666.666666666664</v>
      </c>
      <c r="K80" s="32">
        <f>IF(B79&lt;'Умови та класичний графік'!$J$14,((I79*'Умови та класичний графік'!$J$22)/365)*F80,"")</f>
        <v>149886.41552511457</v>
      </c>
      <c r="L80" s="30">
        <f>IF(B79&lt;'Умови та класичний графік'!$J$14,SUM(M80:V80),"")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графік'!$J$14,XIRR($G$36:G80,$C$36:C80,0),"")</f>
        <v>-3.0644346476681537E-2</v>
      </c>
      <c r="X80" s="42"/>
      <c r="Y80" s="35"/>
    </row>
    <row r="81" spans="2:25" x14ac:dyDescent="0.2">
      <c r="B81" s="25">
        <v>45</v>
      </c>
      <c r="C81" s="36">
        <f>IF(B80&lt;'Умови та класичний графік'!$J$14,EDATE(C80,1),"")</f>
        <v>45566</v>
      </c>
      <c r="D81" s="36">
        <f>IF(B80&lt;'Умови та класичний графік'!$J$14,C80,"")</f>
        <v>45536</v>
      </c>
      <c r="E81" s="26">
        <f>IF(B80&lt;'Умови та класичний графік'!$J$14,C81-1,"")</f>
        <v>45565</v>
      </c>
      <c r="F81" s="37">
        <f>IF(B80&lt;'Умови та класичний графік'!$J$14,E81-D81+1,"")</f>
        <v>30</v>
      </c>
      <c r="G81" s="86">
        <f>IF(B80&lt;'Умови та класичний графік'!$J$14,J81+K81+L81,"")</f>
        <v>185981.73515981773</v>
      </c>
      <c r="H81" s="87"/>
      <c r="I81" s="32">
        <f>IF(B80&lt;'Умови та класичний графік'!$J$14,I80-J81,"")</f>
        <v>8125000.0000000214</v>
      </c>
      <c r="J81" s="32">
        <f>IF(B80&lt;'Умови та класичний графік'!$J$14,J80,"")</f>
        <v>41666.666666666664</v>
      </c>
      <c r="K81" s="32">
        <f>IF(B80&lt;'Умови та класичний графік'!$J$14,((I80*'Умови та класичний графік'!$J$22)/365)*F81,"")</f>
        <v>144315.06849315108</v>
      </c>
      <c r="L81" s="30">
        <f>IF(B80&lt;'Умови та класичний графік'!$J$14,SUM(M81:V81),"")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графік'!$J$14,XIRR($G$36:G81,$C$36:C81,0),"")</f>
        <v>-1.9759805271588271E-2</v>
      </c>
      <c r="X81" s="42"/>
      <c r="Y81" s="35"/>
    </row>
    <row r="82" spans="2:25" x14ac:dyDescent="0.2">
      <c r="B82" s="25">
        <v>46</v>
      </c>
      <c r="C82" s="36">
        <f>IF(B81&lt;'Умови та класичний графік'!$J$14,EDATE(C81,1),"")</f>
        <v>45597</v>
      </c>
      <c r="D82" s="36">
        <f>IF(B81&lt;'Умови та класичний графік'!$J$14,C81,"")</f>
        <v>45566</v>
      </c>
      <c r="E82" s="26">
        <f>IF(B81&lt;'Умови та класичний графік'!$J$14,C82-1,"")</f>
        <v>45596</v>
      </c>
      <c r="F82" s="37">
        <f>IF(B81&lt;'Умови та класичний графік'!$J$14,E82-D82+1,"")</f>
        <v>31</v>
      </c>
      <c r="G82" s="86">
        <f>IF(B81&lt;'Умови та класичний графік'!$J$14,J82+K82+L82,"")</f>
        <v>190031.3926940643</v>
      </c>
      <c r="H82" s="87"/>
      <c r="I82" s="32">
        <f>IF(B81&lt;'Умови та класичний графік'!$J$14,I81-J82,"")</f>
        <v>8083333.3333333544</v>
      </c>
      <c r="J82" s="32">
        <f>IF(B81&lt;'Умови та класичний графік'!$J$14,J81,"")</f>
        <v>41666.666666666664</v>
      </c>
      <c r="K82" s="32">
        <f>IF(B81&lt;'Умови та класичний графік'!$J$14,((I81*'Умови та класичний графік'!$J$22)/365)*F82,"")</f>
        <v>148364.72602739764</v>
      </c>
      <c r="L82" s="30">
        <f>IF(B81&lt;'Умови та класичний графік'!$J$14,SUM(M82:V82),"")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графік'!$J$14,XIRR($G$36:G82,$C$36:C82,0),"")</f>
        <v>-9.1078018121048786E-3</v>
      </c>
      <c r="X82" s="42"/>
      <c r="Y82" s="35"/>
    </row>
    <row r="83" spans="2:25" x14ac:dyDescent="0.2">
      <c r="B83" s="25">
        <v>47</v>
      </c>
      <c r="C83" s="36">
        <f>IF(B82&lt;'Умови та класичний графік'!$J$14,EDATE(C82,1),"")</f>
        <v>45627</v>
      </c>
      <c r="D83" s="36">
        <f>IF(B82&lt;'Умови та класичний графік'!$J$14,C82,"")</f>
        <v>45597</v>
      </c>
      <c r="E83" s="26">
        <f>IF(B82&lt;'Умови та класичний графік'!$J$14,C83-1,"")</f>
        <v>45626</v>
      </c>
      <c r="F83" s="37">
        <f>IF(B82&lt;'Умови та класичний графік'!$J$14,E83-D83+1,"")</f>
        <v>30</v>
      </c>
      <c r="G83" s="86">
        <f>IF(B82&lt;'Умови та класичний графік'!$J$14,J83+K83+L83,"")</f>
        <v>184509.13242009169</v>
      </c>
      <c r="H83" s="87"/>
      <c r="I83" s="32">
        <f>IF(B82&lt;'Умови та класичний графік'!$J$14,I82-J83,"")</f>
        <v>8041666.6666666875</v>
      </c>
      <c r="J83" s="32">
        <f>IF(B82&lt;'Умови та класичний графік'!$J$14,J82,"")</f>
        <v>41666.666666666664</v>
      </c>
      <c r="K83" s="32">
        <f>IF(B82&lt;'Умови та класичний графік'!$J$14,((I82*'Умови та класичний графік'!$J$22)/365)*F83,"")</f>
        <v>142842.46575342503</v>
      </c>
      <c r="L83" s="30">
        <f>IF(B82&lt;'Умови та класичний графік'!$J$14,SUM(M83:V83),"")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графік'!$J$14,XIRR($G$36:G83,$C$36:C83,0),"")</f>
        <v>8.0098144531250007E-4</v>
      </c>
      <c r="X83" s="42"/>
      <c r="Y83" s="35"/>
    </row>
    <row r="84" spans="2:25" x14ac:dyDescent="0.2">
      <c r="B84" s="25">
        <v>48</v>
      </c>
      <c r="C84" s="36">
        <f>IF(B83&lt;'Умови та класичний графік'!$J$14,EDATE(C83,1),"")</f>
        <v>45658</v>
      </c>
      <c r="D84" s="36">
        <f>IF(B83&lt;'Умови та класичний графік'!$J$14,C83,"")</f>
        <v>45627</v>
      </c>
      <c r="E84" s="26">
        <f>IF(B83&lt;'Умови та класичний графік'!$J$14,C84-1,"")</f>
        <v>45657</v>
      </c>
      <c r="F84" s="37">
        <f>IF(B83&lt;'Умови та класичний графік'!$J$14,E84-D84+1,"")</f>
        <v>31</v>
      </c>
      <c r="G84" s="86">
        <f>IF(B83&lt;'Умови та класичний графік'!$J$14,J84+K84+L84,"")</f>
        <v>253009.70319634746</v>
      </c>
      <c r="H84" s="87"/>
      <c r="I84" s="32">
        <f>IF(B83&lt;'Умови та класичний графік'!$J$14,I83-J84,"")</f>
        <v>8000000.0000000205</v>
      </c>
      <c r="J84" s="32">
        <f>IF(B83&lt;'Умови та класичний графік'!$J$14,J83,"")</f>
        <v>41666.666666666664</v>
      </c>
      <c r="K84" s="32">
        <f>IF(B83&lt;'Умови та класичний графік'!$J$14,((I83*'Умови та класичний графік'!$J$22)/365)*F84,"")</f>
        <v>146843.03652968074</v>
      </c>
      <c r="L84" s="30">
        <f>IF(B83&lt;'Умови та класичний графік'!$J$14,SUM(M84:V84),"")</f>
        <v>64500.000000000058</v>
      </c>
      <c r="M84" s="38"/>
      <c r="N84" s="39"/>
      <c r="O84" s="39"/>
      <c r="P84" s="32"/>
      <c r="Q84" s="40"/>
      <c r="R84" s="40"/>
      <c r="S84" s="41"/>
      <c r="T84" s="41"/>
      <c r="U84" s="33">
        <f>IF(B83&lt;'Умови та класичний графік'!$J$14,('Умови та класичний графік'!$J$15*$N$20)+(I84*$N$21),"")</f>
        <v>64500.000000000058</v>
      </c>
      <c r="V84" s="41"/>
      <c r="W84" s="43">
        <f>IF(B83&lt;'Умови та класичний графік'!$J$14,XIRR($G$36:G84,$C$36:C84,0),"")</f>
        <v>1.3732055664062501E-2</v>
      </c>
      <c r="X84" s="42"/>
      <c r="Y84" s="35"/>
    </row>
    <row r="85" spans="2:25" x14ac:dyDescent="0.2">
      <c r="B85" s="25">
        <v>49</v>
      </c>
      <c r="C85" s="36">
        <f>IF(B84&lt;'Умови та класичний графік'!$J$14,EDATE(C84,1),"")</f>
        <v>45689</v>
      </c>
      <c r="D85" s="36">
        <f>IF(B84&lt;'Умови та класичний графік'!$J$14,C84,"")</f>
        <v>45658</v>
      </c>
      <c r="E85" s="26">
        <f>IF(B84&lt;'Умови та класичний графік'!$J$14,C85-1,"")</f>
        <v>45688</v>
      </c>
      <c r="F85" s="37">
        <f>IF(B84&lt;'Умови та класичний графік'!$J$14,E85-D85+1,"")</f>
        <v>31</v>
      </c>
      <c r="G85" s="86">
        <f>IF(B84&lt;'Умови та класичний графік'!$J$14,J85+K85+L85,"")</f>
        <v>187748.85844748895</v>
      </c>
      <c r="H85" s="87"/>
      <c r="I85" s="32">
        <f>IF(B84&lt;'Умови та класичний графік'!$J$14,I84-J85,"")</f>
        <v>7958333.3333333535</v>
      </c>
      <c r="J85" s="32">
        <f>IF(B84&lt;'Умови та класичний графік'!$J$14,J84,"")</f>
        <v>41666.666666666664</v>
      </c>
      <c r="K85" s="32">
        <f>IF(B84&lt;'Умови та класичний графік'!$J$14,((I84*'Умови та класичний графік'!$J$22)/365)*F85,"")</f>
        <v>146082.19178082229</v>
      </c>
      <c r="L85" s="30">
        <f>IF(B84&lt;'Умови та класичний графік'!$J$14,SUM(M85:V85),"")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графік'!$J$14,XIRR($G$36:G85,$C$36:C85,0),"")</f>
        <v>2.2865688476562507E-2</v>
      </c>
      <c r="X85" s="42"/>
      <c r="Y85" s="35"/>
    </row>
    <row r="86" spans="2:25" x14ac:dyDescent="0.2">
      <c r="B86" s="25">
        <v>50</v>
      </c>
      <c r="C86" s="36">
        <f>IF(B85&lt;'Умови та класичний графік'!$J$14,EDATE(C85,1),"")</f>
        <v>45717</v>
      </c>
      <c r="D86" s="36">
        <f>IF(B85&lt;'Умови та класичний графік'!$J$14,C85,"")</f>
        <v>45689</v>
      </c>
      <c r="E86" s="26">
        <f>IF(B85&lt;'Умови та класичний графік'!$J$14,C86-1,"")</f>
        <v>45716</v>
      </c>
      <c r="F86" s="37">
        <f>IF(B85&lt;'Умови та класичний графік'!$J$14,E86-D86+1,"")</f>
        <v>28</v>
      </c>
      <c r="G86" s="86">
        <f>IF(B85&lt;'Умови та класичний графік'!$J$14,J86+K86+L86,"")</f>
        <v>172924.65753424689</v>
      </c>
      <c r="H86" s="87"/>
      <c r="I86" s="32">
        <f>IF(B85&lt;'Умови та класичний графік'!$J$14,I85-J86,"")</f>
        <v>7916666.6666666865</v>
      </c>
      <c r="J86" s="32">
        <f>IF(B85&lt;'Умови та класичний графік'!$J$14,J85,"")</f>
        <v>41666.666666666664</v>
      </c>
      <c r="K86" s="32">
        <f>IF(B85&lt;'Умови та класичний графік'!$J$14,((I85*'Умови та класичний графік'!$J$22)/365)*F86,"")</f>
        <v>131257.99086758023</v>
      </c>
      <c r="L86" s="30">
        <f>IF(B85&lt;'Умови та класичний графік'!$J$14,SUM(M86:V86),"")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графік'!$J$14,XIRR($G$36:G86,$C$36:C86,0),"")</f>
        <v>3.094791503906251E-2</v>
      </c>
      <c r="X86" s="42"/>
      <c r="Y86" s="35"/>
    </row>
    <row r="87" spans="2:25" x14ac:dyDescent="0.2">
      <c r="B87" s="25">
        <v>51</v>
      </c>
      <c r="C87" s="36">
        <f>IF(B86&lt;'Умови та класичний графік'!$J$14,EDATE(C86,1),"")</f>
        <v>45748</v>
      </c>
      <c r="D87" s="36">
        <f>IF(B86&lt;'Умови та класичний графік'!$J$14,C86,"")</f>
        <v>45717</v>
      </c>
      <c r="E87" s="26">
        <f>IF(B86&lt;'Умови та класичний графік'!$J$14,C87-1,"")</f>
        <v>45747</v>
      </c>
      <c r="F87" s="37">
        <f>IF(B86&lt;'Умови та класичний графік'!$J$14,E87-D87+1,"")</f>
        <v>31</v>
      </c>
      <c r="G87" s="86">
        <f>IF(B86&lt;'Умови та класичний графік'!$J$14,J87+K87+L87,"")</f>
        <v>186227.16894977205</v>
      </c>
      <c r="H87" s="87"/>
      <c r="I87" s="32">
        <f>IF(B86&lt;'Умови та класичний графік'!$J$14,I86-J87,"")</f>
        <v>7875000.0000000196</v>
      </c>
      <c r="J87" s="32">
        <f>IF(B86&lt;'Умови та класичний графік'!$J$14,J86,"")</f>
        <v>41666.666666666664</v>
      </c>
      <c r="K87" s="32">
        <f>IF(B86&lt;'Умови та класичний графік'!$J$14,((I86*'Умови та класичний графік'!$J$22)/365)*F87,"")</f>
        <v>144560.50228310539</v>
      </c>
      <c r="L87" s="30">
        <f>IF(B86&lt;'Умови та класичний графік'!$J$14,SUM(M87:V87),"")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графік'!$J$14,XIRR($G$36:G87,$C$36:C87,0),"")</f>
        <v>3.9311362304687514E-2</v>
      </c>
      <c r="X87" s="42"/>
      <c r="Y87" s="35"/>
    </row>
    <row r="88" spans="2:25" x14ac:dyDescent="0.2">
      <c r="B88" s="25">
        <v>52</v>
      </c>
      <c r="C88" s="36">
        <f>IF(B87&lt;'Умови та класичний графік'!$J$14,EDATE(C87,1),"")</f>
        <v>45778</v>
      </c>
      <c r="D88" s="36">
        <f>IF(B87&lt;'Умови та класичний графік'!$J$14,C87,"")</f>
        <v>45748</v>
      </c>
      <c r="E88" s="26">
        <f>IF(B87&lt;'Умови та класичний графік'!$J$14,C88-1,"")</f>
        <v>45777</v>
      </c>
      <c r="F88" s="37">
        <f>IF(B87&lt;'Умови та класичний графік'!$J$14,E88-D88+1,"")</f>
        <v>30</v>
      </c>
      <c r="G88" s="86">
        <f>IF(B87&lt;'Умови та класичний графік'!$J$14,J88+K88+L88,"")</f>
        <v>180827.62557077661</v>
      </c>
      <c r="H88" s="87"/>
      <c r="I88" s="32">
        <f>IF(B87&lt;'Умови та класичний графік'!$J$14,I87-J88,"")</f>
        <v>7833333.3333333526</v>
      </c>
      <c r="J88" s="32">
        <f>IF(B87&lt;'Умови та класичний графік'!$J$14,J87,"")</f>
        <v>41666.666666666664</v>
      </c>
      <c r="K88" s="32">
        <f>IF(B87&lt;'Умови та класичний графік'!$J$14,((I87*'Умови та класичний графік'!$J$22)/365)*F88,"")</f>
        <v>139160.95890410995</v>
      </c>
      <c r="L88" s="30">
        <f>IF(B87&lt;'Умови та класичний графік'!$J$14,SUM(M88:V88),"")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графік'!$J$14,XIRR($G$36:G88,$C$36:C88,0),"")</f>
        <v>4.7110043945312513E-2</v>
      </c>
      <c r="X88" s="42"/>
      <c r="Y88" s="35"/>
    </row>
    <row r="89" spans="2:25" x14ac:dyDescent="0.2">
      <c r="B89" s="25">
        <v>53</v>
      </c>
      <c r="C89" s="36">
        <f>IF(B88&lt;'Умови та класичний графік'!$J$14,EDATE(C88,1),"")</f>
        <v>45809</v>
      </c>
      <c r="D89" s="36">
        <f>IF(B88&lt;'Умови та класичний графік'!$J$14,C88,"")</f>
        <v>45778</v>
      </c>
      <c r="E89" s="26">
        <f>IF(B88&lt;'Умови та класичний графік'!$J$14,C89-1,"")</f>
        <v>45808</v>
      </c>
      <c r="F89" s="37">
        <f>IF(B88&lt;'Умови та класичний графік'!$J$14,E89-D89+1,"")</f>
        <v>31</v>
      </c>
      <c r="G89" s="86">
        <f>IF(B88&lt;'Умови та класичний графік'!$J$14,J89+K89+L89,"")</f>
        <v>184705.47945205515</v>
      </c>
      <c r="H89" s="87"/>
      <c r="I89" s="32">
        <f>IF(B88&lt;'Умови та класичний графік'!$J$14,I88-J89,"")</f>
        <v>7791666.6666666856</v>
      </c>
      <c r="J89" s="32">
        <f>IF(B88&lt;'Умови та класичний графік'!$J$14,J88,"")</f>
        <v>41666.666666666664</v>
      </c>
      <c r="K89" s="32">
        <f>IF(B88&lt;'Умови та класичний графік'!$J$14,((I88*'Умови та класичний графік'!$J$22)/365)*F89,"")</f>
        <v>143038.81278538849</v>
      </c>
      <c r="L89" s="30">
        <f>IF(B88&lt;'Умови та класичний графік'!$J$14,SUM(M89:V89),"")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графік'!$J$14,XIRR($G$36:G89,$C$36:C89,0),"")</f>
        <v>5.4761625976562492E-2</v>
      </c>
      <c r="X89" s="42"/>
      <c r="Y89" s="35"/>
    </row>
    <row r="90" spans="2:25" x14ac:dyDescent="0.2">
      <c r="B90" s="25">
        <v>54</v>
      </c>
      <c r="C90" s="36">
        <f>IF(B89&lt;'Умови та класичний графік'!$J$14,EDATE(C89,1),"")</f>
        <v>45839</v>
      </c>
      <c r="D90" s="36">
        <f>IF(B89&lt;'Умови та класичний графік'!$J$14,C89,"")</f>
        <v>45809</v>
      </c>
      <c r="E90" s="26">
        <f>IF(B89&lt;'Умови та класичний графік'!$J$14,C90-1,"")</f>
        <v>45838</v>
      </c>
      <c r="F90" s="37">
        <f>IF(B89&lt;'Умови та класичний графік'!$J$14,E90-D90+1,"")</f>
        <v>30</v>
      </c>
      <c r="G90" s="86">
        <f>IF(B89&lt;'Умови та класичний графік'!$J$14,J90+K90+L90,"")</f>
        <v>179355.02283105056</v>
      </c>
      <c r="H90" s="87"/>
      <c r="I90" s="32">
        <f>IF(B89&lt;'Умови та класичний графік'!$J$14,I89-J90,"")</f>
        <v>7750000.0000000186</v>
      </c>
      <c r="J90" s="32">
        <f>IF(B89&lt;'Умови та класичний графік'!$J$14,J89,"")</f>
        <v>41666.666666666664</v>
      </c>
      <c r="K90" s="32">
        <f>IF(B89&lt;'Умови та класичний графік'!$J$14,((I89*'Умови та класичний графік'!$J$22)/365)*F90,"")</f>
        <v>137688.35616438391</v>
      </c>
      <c r="L90" s="30">
        <f>IF(B89&lt;'Умови та класичний графік'!$J$14,SUM(M90:V90),"")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графік'!$J$14,XIRR($G$36:G90,$C$36:C90,0),"")</f>
        <v>6.1901684570312504E-2</v>
      </c>
      <c r="X90" s="42"/>
      <c r="Y90" s="35"/>
    </row>
    <row r="91" spans="2:25" x14ac:dyDescent="0.2">
      <c r="B91" s="25">
        <v>55</v>
      </c>
      <c r="C91" s="36">
        <f>IF(B90&lt;'Умови та класичний графік'!$J$14,EDATE(C90,1),"")</f>
        <v>45870</v>
      </c>
      <c r="D91" s="36">
        <f>IF(B90&lt;'Умови та класичний графік'!$J$14,C90,"")</f>
        <v>45839</v>
      </c>
      <c r="E91" s="26">
        <f>IF(B90&lt;'Умови та класичний графік'!$J$14,C91-1,"")</f>
        <v>45869</v>
      </c>
      <c r="F91" s="37">
        <f>IF(B90&lt;'Умови та класичний графік'!$J$14,E91-D91+1,"")</f>
        <v>31</v>
      </c>
      <c r="G91" s="86">
        <f>IF(B90&lt;'Умови та класичний графік'!$J$14,J91+K91+L91,"")</f>
        <v>183183.78995433822</v>
      </c>
      <c r="H91" s="87"/>
      <c r="I91" s="32">
        <f>IF(B90&lt;'Умови та класичний графік'!$J$14,I90-J91,"")</f>
        <v>7708333.3333333516</v>
      </c>
      <c r="J91" s="32">
        <f>IF(B90&lt;'Умови та класичний графік'!$J$14,J90,"")</f>
        <v>41666.666666666664</v>
      </c>
      <c r="K91" s="32">
        <f>IF(B90&lt;'Умови та класичний графік'!$J$14,((I90*'Умови та класичний графік'!$J$22)/365)*F91,"")</f>
        <v>141517.12328767157</v>
      </c>
      <c r="L91" s="30">
        <f>IF(B90&lt;'Умови та класичний графік'!$J$14,SUM(M91:V91),"")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графік'!$J$14,XIRR($G$36:G91,$C$36:C91,0),"")</f>
        <v>6.8911020507812545E-2</v>
      </c>
      <c r="X91" s="42"/>
      <c r="Y91" s="35"/>
    </row>
    <row r="92" spans="2:25" x14ac:dyDescent="0.2">
      <c r="B92" s="25">
        <v>56</v>
      </c>
      <c r="C92" s="36">
        <f>IF(B91&lt;'Умови та класичний графік'!$J$14,EDATE(C91,1),"")</f>
        <v>45901</v>
      </c>
      <c r="D92" s="36">
        <f>IF(B91&lt;'Умови та класичний графік'!$J$14,C91,"")</f>
        <v>45870</v>
      </c>
      <c r="E92" s="26">
        <f>IF(B91&lt;'Умови та класичний графік'!$J$14,C92-1,"")</f>
        <v>45900</v>
      </c>
      <c r="F92" s="37">
        <f>IF(B91&lt;'Умови та класичний графік'!$J$14,E92-D92+1,"")</f>
        <v>31</v>
      </c>
      <c r="G92" s="86">
        <f>IF(B91&lt;'Умови та класичний графік'!$J$14,J92+K92+L92,"")</f>
        <v>182422.94520547977</v>
      </c>
      <c r="H92" s="87"/>
      <c r="I92" s="32">
        <f>IF(B91&lt;'Умови та класичний графік'!$J$14,I91-J92,"")</f>
        <v>7666666.6666666847</v>
      </c>
      <c r="J92" s="32">
        <f>IF(B91&lt;'Умови та класичний графік'!$J$14,J91,"")</f>
        <v>41666.666666666664</v>
      </c>
      <c r="K92" s="32">
        <f>IF(B91&lt;'Умови та класичний графік'!$J$14,((I91*'Умови та класичний графік'!$J$22)/365)*F92,"")</f>
        <v>140756.27853881312</v>
      </c>
      <c r="L92" s="30">
        <f>IF(B91&lt;'Умови та класичний графік'!$J$14,SUM(M92:V92),"")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графік'!$J$14,XIRR($G$36:G92,$C$36:C92,0),"")</f>
        <v>7.5619555664062491E-2</v>
      </c>
      <c r="X92" s="42"/>
      <c r="Y92" s="35"/>
    </row>
    <row r="93" spans="2:25" x14ac:dyDescent="0.2">
      <c r="B93" s="25">
        <v>57</v>
      </c>
      <c r="C93" s="36">
        <f>IF(B92&lt;'Умови та класичний графік'!$J$14,EDATE(C92,1),"")</f>
        <v>45931</v>
      </c>
      <c r="D93" s="36">
        <f>IF(B92&lt;'Умови та класичний графік'!$J$14,C92,"")</f>
        <v>45901</v>
      </c>
      <c r="E93" s="26">
        <f>IF(B92&lt;'Умови та класичний графік'!$J$14,C93-1,"")</f>
        <v>45930</v>
      </c>
      <c r="F93" s="37">
        <f>IF(B92&lt;'Умови та класичний графік'!$J$14,E93-D93+1,"")</f>
        <v>30</v>
      </c>
      <c r="G93" s="86">
        <f>IF(B92&lt;'Умови та класичний графік'!$J$14,J93+K93+L93,"")</f>
        <v>177146.11872146148</v>
      </c>
      <c r="H93" s="87"/>
      <c r="I93" s="32">
        <f>IF(B92&lt;'Умови та класичний графік'!$J$14,I92-J93,"")</f>
        <v>7625000.0000000177</v>
      </c>
      <c r="J93" s="32">
        <f>IF(B92&lt;'Умови та класичний графік'!$J$14,J92,"")</f>
        <v>41666.666666666664</v>
      </c>
      <c r="K93" s="32">
        <f>IF(B92&lt;'Умови та класичний графік'!$J$14,((I92*'Умови та класичний графік'!$J$22)/365)*F93,"")</f>
        <v>135479.45205479482</v>
      </c>
      <c r="L93" s="30">
        <f>IF(B92&lt;'Умови та класичний графік'!$J$14,SUM(M93:V93),"")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графік'!$J$14,XIRR($G$36:G93,$C$36:C93,0),"")</f>
        <v>8.1886469726562508E-2</v>
      </c>
      <c r="X93" s="42"/>
      <c r="Y93" s="35"/>
    </row>
    <row r="94" spans="2:25" x14ac:dyDescent="0.2">
      <c r="B94" s="25">
        <v>58</v>
      </c>
      <c r="C94" s="36">
        <f>IF(B93&lt;'Умови та класичний графік'!$J$14,EDATE(C93,1),"")</f>
        <v>45962</v>
      </c>
      <c r="D94" s="36">
        <f>IF(B93&lt;'Умови та класичний графік'!$J$14,C93,"")</f>
        <v>45931</v>
      </c>
      <c r="E94" s="26">
        <f>IF(B93&lt;'Умови та класичний графік'!$J$14,C94-1,"")</f>
        <v>45961</v>
      </c>
      <c r="F94" s="37">
        <f>IF(B93&lt;'Умови та класичний графік'!$J$14,E94-D94+1,"")</f>
        <v>31</v>
      </c>
      <c r="G94" s="86">
        <f>IF(B93&lt;'Умови та класичний графік'!$J$14,J94+K94+L94,"")</f>
        <v>180901.25570776284</v>
      </c>
      <c r="H94" s="87"/>
      <c r="I94" s="32">
        <f>IF(B93&lt;'Умови та класичний графік'!$J$14,I93-J94,"")</f>
        <v>7583333.3333333507</v>
      </c>
      <c r="J94" s="32">
        <f>IF(B93&lt;'Умови та класичний графік'!$J$14,J93,"")</f>
        <v>41666.666666666664</v>
      </c>
      <c r="K94" s="32">
        <f>IF(B93&lt;'Умови та класичний графік'!$J$14,((I93*'Умови та класичний графік'!$J$22)/365)*F94,"")</f>
        <v>139234.58904109619</v>
      </c>
      <c r="L94" s="30">
        <f>IF(B93&lt;'Умови та класичний графік'!$J$14,SUM(M94:V94),"")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графік'!$J$14,XIRR($G$36:G94,$C$36:C94,0),"")</f>
        <v>8.8043901367187496E-2</v>
      </c>
      <c r="X94" s="42"/>
      <c r="Y94" s="35"/>
    </row>
    <row r="95" spans="2:25" x14ac:dyDescent="0.2">
      <c r="B95" s="25">
        <v>59</v>
      </c>
      <c r="C95" s="36">
        <f>IF(B94&lt;'Умови та класичний графік'!$J$14,EDATE(C94,1),"")</f>
        <v>45992</v>
      </c>
      <c r="D95" s="36">
        <f>IF(B94&lt;'Умови та класичний графік'!$J$14,C94,"")</f>
        <v>45962</v>
      </c>
      <c r="E95" s="26">
        <f>IF(B94&lt;'Умови та класичний графік'!$J$14,C95-1,"")</f>
        <v>45991</v>
      </c>
      <c r="F95" s="37">
        <f>IF(B94&lt;'Умови та класичний графік'!$J$14,E95-D95+1,"")</f>
        <v>30</v>
      </c>
      <c r="G95" s="86">
        <f>IF(B94&lt;'Умови та класичний графік'!$J$14,J95+K95+L95,"")</f>
        <v>175673.51598173546</v>
      </c>
      <c r="H95" s="87"/>
      <c r="I95" s="32">
        <f>IF(B94&lt;'Умови та класичний графік'!$J$14,I94-J95,"")</f>
        <v>7541666.6666666837</v>
      </c>
      <c r="J95" s="32">
        <f>IF(B94&lt;'Умови та класичний графік'!$J$14,J94,"")</f>
        <v>41666.666666666664</v>
      </c>
      <c r="K95" s="32">
        <f>IF(B94&lt;'Умови та класичний графік'!$J$14,((I94*'Умови та класичний графік'!$J$22)/365)*F95,"")</f>
        <v>134006.8493150688</v>
      </c>
      <c r="L95" s="30">
        <f>IF(B94&lt;'Умови та класичний графік'!$J$14,SUM(M95:V95),"")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графік'!$J$14,XIRR($G$36:G95,$C$36:C95,0),"")</f>
        <v>9.3800161132812518E-2</v>
      </c>
      <c r="X95" s="42"/>
      <c r="Y95" s="35"/>
    </row>
    <row r="96" spans="2:25" x14ac:dyDescent="0.2">
      <c r="B96" s="25">
        <v>60</v>
      </c>
      <c r="C96" s="36">
        <f>IF(B95&lt;'Умови та класичний графік'!$J$14,EDATE(C95,1),"")</f>
        <v>46023</v>
      </c>
      <c r="D96" s="36">
        <f>IF(B95&lt;'Умови та класичний графік'!$J$14,C95,"")</f>
        <v>45992</v>
      </c>
      <c r="E96" s="26">
        <f>IF(B95&lt;'Умови та класичний графік'!$J$14,C96-1,"")</f>
        <v>46022</v>
      </c>
      <c r="F96" s="37">
        <f>IF(B95&lt;'Умови та класичний графік'!$J$14,E96-D96+1,"")</f>
        <v>31</v>
      </c>
      <c r="G96" s="86">
        <f>IF(B95&lt;'Умови та класичний графік'!$J$14,J96+K96+L96,"")</f>
        <v>242379.56621004603</v>
      </c>
      <c r="H96" s="87"/>
      <c r="I96" s="32">
        <f>IF(B95&lt;'Умови та класичний графік'!$J$14,I95-J96,"")</f>
        <v>7500000.0000000168</v>
      </c>
      <c r="J96" s="32">
        <f>IF(B95&lt;'Умови та класичний графік'!$J$14,J95,"")</f>
        <v>41666.666666666664</v>
      </c>
      <c r="K96" s="32">
        <f>IF(B95&lt;'Умови та класичний графік'!$J$14,((I95*'Умови та класичний графік'!$J$22)/365)*F96,"")</f>
        <v>137712.89954337932</v>
      </c>
      <c r="L96" s="30">
        <f>IF(B95&lt;'Умови та класичний графік'!$J$14,SUM(M96:V96),"")</f>
        <v>63000.000000000051</v>
      </c>
      <c r="M96" s="38"/>
      <c r="N96" s="39"/>
      <c r="O96" s="39"/>
      <c r="P96" s="32"/>
      <c r="Q96" s="40"/>
      <c r="R96" s="40"/>
      <c r="S96" s="41"/>
      <c r="T96" s="41"/>
      <c r="U96" s="33">
        <f>IF(B95&lt;'Умови та класичний графік'!$J$14,('Умови та класичний графік'!$J$15*$N$20)+(I96*$N$21),"")</f>
        <v>63000.000000000051</v>
      </c>
      <c r="V96" s="41"/>
      <c r="W96" s="43">
        <f>IF(B95&lt;'Умови та класичний графік'!$J$14,XIRR($G$36:G96,$C$36:C96,0),"")</f>
        <v>0.10140659667968752</v>
      </c>
      <c r="X96" s="42"/>
      <c r="Y96" s="35"/>
    </row>
    <row r="97" spans="2:25" x14ac:dyDescent="0.2">
      <c r="B97" s="25">
        <v>61</v>
      </c>
      <c r="C97" s="36">
        <f>IF(B96&lt;'Умови та класичний графік'!$J$14,EDATE(C96,1),"")</f>
        <v>46054</v>
      </c>
      <c r="D97" s="36">
        <f>IF(B96&lt;'Умови та класичний графік'!$J$14,C96,"")</f>
        <v>46023</v>
      </c>
      <c r="E97" s="26">
        <f>IF(B96&lt;'Умови та класичний графік'!$J$14,C97-1,"")</f>
        <v>46053</v>
      </c>
      <c r="F97" s="37">
        <f>IF(B96&lt;'Умови та класичний графік'!$J$14,E97-D97+1,"")</f>
        <v>31</v>
      </c>
      <c r="G97" s="86">
        <f>IF(B96&lt;'Умови та класичний графік'!$J$14,J97+K97+L97,"")</f>
        <v>178618.7214611875</v>
      </c>
      <c r="H97" s="87"/>
      <c r="I97" s="32">
        <f>IF(B96&lt;'Умови та класичний графік'!$J$14,I96-J97,"")</f>
        <v>7458333.3333333498</v>
      </c>
      <c r="J97" s="32">
        <f>IF(B96&lt;'Умови та класичний графік'!$J$14,J96,"")</f>
        <v>41666.666666666664</v>
      </c>
      <c r="K97" s="32">
        <f>IF(B96&lt;'Умови та класичний графік'!$J$14,((I96*'Умови та класичний графік'!$J$22)/365)*F97,"")</f>
        <v>136952.05479452084</v>
      </c>
      <c r="L97" s="30">
        <f>IF(B96&lt;'Умови та класичний графік'!$J$14,SUM(M97:V97),"")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графік'!$J$14,XIRR($G$36:G97,$C$36:C97,0),"")</f>
        <v>0.10677585449218753</v>
      </c>
      <c r="X97" s="42"/>
      <c r="Y97" s="35"/>
    </row>
    <row r="98" spans="2:25" x14ac:dyDescent="0.2">
      <c r="B98" s="25">
        <v>62</v>
      </c>
      <c r="C98" s="36">
        <f>IF(B97&lt;'Умови та класичний графік'!$J$14,EDATE(C97,1),"")</f>
        <v>46082</v>
      </c>
      <c r="D98" s="36">
        <f>IF(B97&lt;'Умови та класичний графік'!$J$14,C97,"")</f>
        <v>46054</v>
      </c>
      <c r="E98" s="26">
        <f>IF(B97&lt;'Умови та класичний графік'!$J$14,C98-1,"")</f>
        <v>46081</v>
      </c>
      <c r="F98" s="37">
        <f>IF(B97&lt;'Умови та класичний графік'!$J$14,E98-D98+1,"")</f>
        <v>28</v>
      </c>
      <c r="G98" s="86">
        <f>IF(B97&lt;'Умови та класичний графік'!$J$14,J98+K98+L98,"")</f>
        <v>164678.08219178108</v>
      </c>
      <c r="H98" s="87"/>
      <c r="I98" s="32">
        <f>IF(B97&lt;'Умови та класичний графік'!$J$14,I97-J98,"")</f>
        <v>7416666.6666666828</v>
      </c>
      <c r="J98" s="32">
        <f>IF(B97&lt;'Умови та класичний графік'!$J$14,J97,"")</f>
        <v>41666.666666666664</v>
      </c>
      <c r="K98" s="32">
        <f>IF(B97&lt;'Умови та класичний графік'!$J$14,((I97*'Умови та класичний графік'!$J$22)/365)*F98,"")</f>
        <v>123011.41552511443</v>
      </c>
      <c r="L98" s="30">
        <f>IF(B97&lt;'Умови та класичний графік'!$J$14,SUM(M98:V98),"")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графік'!$J$14,XIRR($G$36:G98,$C$36:C98,0),"")</f>
        <v>0.11155342285156251</v>
      </c>
      <c r="X98" s="42"/>
      <c r="Y98" s="35"/>
    </row>
    <row r="99" spans="2:25" x14ac:dyDescent="0.2">
      <c r="B99" s="25">
        <v>63</v>
      </c>
      <c r="C99" s="36">
        <f>IF(B98&lt;'Умови та класичний графік'!$J$14,EDATE(C98,1),"")</f>
        <v>46113</v>
      </c>
      <c r="D99" s="36">
        <f>IF(B98&lt;'Умови та класичний графік'!$J$14,C98,"")</f>
        <v>46082</v>
      </c>
      <c r="E99" s="26">
        <f>IF(B98&lt;'Умови та класичний графік'!$J$14,C99-1,"")</f>
        <v>46112</v>
      </c>
      <c r="F99" s="37">
        <f>IF(B98&lt;'Умови та класичний графік'!$J$14,E99-D99+1,"")</f>
        <v>31</v>
      </c>
      <c r="G99" s="86">
        <f>IF(B98&lt;'Умови та класичний графік'!$J$14,J99+K99+L99,"")</f>
        <v>177097.0319634706</v>
      </c>
      <c r="H99" s="87"/>
      <c r="I99" s="32">
        <f>IF(B98&lt;'Умови та класичний графік'!$J$14,I98-J99,"")</f>
        <v>7375000.0000000158</v>
      </c>
      <c r="J99" s="32">
        <f>IF(B98&lt;'Умови та класичний графік'!$J$14,J98,"")</f>
        <v>41666.666666666664</v>
      </c>
      <c r="K99" s="32">
        <f>IF(B98&lt;'Умови та класичний графік'!$J$14,((I98*'Умови та класичний графік'!$J$22)/365)*F99,"")</f>
        <v>135430.36529680394</v>
      </c>
      <c r="L99" s="30">
        <f>IF(B98&lt;'Умови та класичний графік'!$J$14,SUM(M99:V99),"")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графік'!$J$14,XIRR($G$36:G99,$C$36:C99,0),"")</f>
        <v>0.11650947753906253</v>
      </c>
      <c r="X99" s="42"/>
      <c r="Y99" s="35"/>
    </row>
    <row r="100" spans="2:25" x14ac:dyDescent="0.2">
      <c r="B100" s="25">
        <v>64</v>
      </c>
      <c r="C100" s="36">
        <f>IF(B99&lt;'Умови та класичний графік'!$J$14,EDATE(C99,1),"")</f>
        <v>46143</v>
      </c>
      <c r="D100" s="36">
        <f>IF(B99&lt;'Умови та класичний графік'!$J$14,C99,"")</f>
        <v>46113</v>
      </c>
      <c r="E100" s="26">
        <f>IF(B99&lt;'Умови та класичний графік'!$J$14,C100-1,"")</f>
        <v>46142</v>
      </c>
      <c r="F100" s="37">
        <f>IF(B99&lt;'Умови та класичний графік'!$J$14,E100-D100+1,"")</f>
        <v>30</v>
      </c>
      <c r="G100" s="86">
        <f>IF(B99&lt;'Умови та класичний графік'!$J$14,J100+K100+L100,"")</f>
        <v>171992.00913242035</v>
      </c>
      <c r="H100" s="87"/>
      <c r="I100" s="32">
        <f>IF(B99&lt;'Умови та класичний графік'!$J$14,I99-J100,"")</f>
        <v>7333333.3333333489</v>
      </c>
      <c r="J100" s="32">
        <f>IF(B99&lt;'Умови та класичний графік'!$J$14,J99,"")</f>
        <v>41666.666666666664</v>
      </c>
      <c r="K100" s="32">
        <f>IF(B99&lt;'Умови та класичний графік'!$J$14,((I99*'Умови та класичний графік'!$J$22)/365)*F100,"")</f>
        <v>130325.3424657537</v>
      </c>
      <c r="L100" s="30">
        <f>IF(B99&lt;'Умови та класичний графік'!$J$14,SUM(M100:V100),"")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графік'!$J$14,XIRR($G$36:G100,$C$36:C100,0),"")</f>
        <v>0.12115182128906253</v>
      </c>
      <c r="X100" s="42"/>
      <c r="Y100" s="35"/>
    </row>
    <row r="101" spans="2:25" x14ac:dyDescent="0.2">
      <c r="B101" s="25">
        <v>65</v>
      </c>
      <c r="C101" s="36">
        <f>IF(B100&lt;'Умови та класичний графік'!$J$14,EDATE(C100,1),"")</f>
        <v>46174</v>
      </c>
      <c r="D101" s="36">
        <f>IF(B100&lt;'Умови та класичний графік'!$J$14,C100,"")</f>
        <v>46143</v>
      </c>
      <c r="E101" s="26">
        <f>IF(B100&lt;'Умови та класичний графік'!$J$14,C101-1,"")</f>
        <v>46173</v>
      </c>
      <c r="F101" s="37">
        <f>IF(B100&lt;'Умови та класичний графік'!$J$14,E101-D101+1,"")</f>
        <v>31</v>
      </c>
      <c r="G101" s="86">
        <f>IF(B100&lt;'Умови та класичний графік'!$J$14,J101+K101+L101,"")</f>
        <v>175575.3424657537</v>
      </c>
      <c r="H101" s="87"/>
      <c r="I101" s="32">
        <f>IF(B100&lt;'Умови та класичний графік'!$J$14,I100-J101,"")</f>
        <v>7291666.6666666819</v>
      </c>
      <c r="J101" s="32">
        <f>IF(B100&lt;'Умови та класичний графік'!$J$14,J100,"")</f>
        <v>41666.666666666664</v>
      </c>
      <c r="K101" s="32">
        <f>IF(B100&lt;'Умови та класичний графік'!$J$14,((I100*'Умови та класичний графік'!$J$22)/365)*F101,"")</f>
        <v>133908.67579908704</v>
      </c>
      <c r="L101" s="30">
        <f>IF(B100&lt;'Умови та класичний графік'!$J$14,SUM(M101:V101),"")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графік'!$J$14,XIRR($G$36:G101,$C$36:C101,0),"")</f>
        <v>0.12572267089843753</v>
      </c>
      <c r="X101" s="42"/>
      <c r="Y101" s="35"/>
    </row>
    <row r="102" spans="2:25" x14ac:dyDescent="0.2">
      <c r="B102" s="25">
        <v>66</v>
      </c>
      <c r="C102" s="36">
        <f>IF(B101&lt;'Умови та класичний графік'!$J$14,EDATE(C101,1),"")</f>
        <v>46204</v>
      </c>
      <c r="D102" s="36">
        <f>IF(B101&lt;'Умови та класичний графік'!$J$14,C101,"")</f>
        <v>46174</v>
      </c>
      <c r="E102" s="26">
        <f>IF(B101&lt;'Умови та класичний графік'!$J$14,C102-1,"")</f>
        <v>46203</v>
      </c>
      <c r="F102" s="37">
        <f>IF(B101&lt;'Умови та класичний графік'!$J$14,E102-D102+1,"")</f>
        <v>30</v>
      </c>
      <c r="G102" s="86">
        <f>IF(B101&lt;'Умови та класичний графік'!$J$14,J102+K102+L102,"")</f>
        <v>170519.40639269433</v>
      </c>
      <c r="H102" s="87"/>
      <c r="I102" s="32">
        <f>IF(B101&lt;'Умови та класичний графік'!$J$14,I101-J102,"")</f>
        <v>7250000.0000000149</v>
      </c>
      <c r="J102" s="32">
        <f>IF(B101&lt;'Умови та класичний графік'!$J$14,J101,"")</f>
        <v>41666.666666666664</v>
      </c>
      <c r="K102" s="32">
        <f>IF(B101&lt;'Умови та класичний графік'!$J$14,((I101*'Умови та класичний графік'!$J$22)/365)*F102,"")</f>
        <v>128852.73972602766</v>
      </c>
      <c r="L102" s="30">
        <f>IF(B101&lt;'Умови та класичний графік'!$J$14,SUM(M102:V102),"")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графік'!$J$14,XIRR($G$36:G102,$C$36:C102,0),"")</f>
        <v>0.13000693847656247</v>
      </c>
      <c r="X102" s="42"/>
      <c r="Y102" s="35"/>
    </row>
    <row r="103" spans="2:25" x14ac:dyDescent="0.2">
      <c r="B103" s="25">
        <v>67</v>
      </c>
      <c r="C103" s="36">
        <f>IF(B102&lt;'Умови та класичний графік'!$J$14,EDATE(C102,1),"")</f>
        <v>46235</v>
      </c>
      <c r="D103" s="36">
        <f>IF(B102&lt;'Умови та класичний графік'!$J$14,C102,"")</f>
        <v>46204</v>
      </c>
      <c r="E103" s="26">
        <f>IF(B102&lt;'Умови та класичний графік'!$J$14,C103-1,"")</f>
        <v>46234</v>
      </c>
      <c r="F103" s="37">
        <f>IF(B102&lt;'Умови та класичний графік'!$J$14,E103-D103+1,"")</f>
        <v>31</v>
      </c>
      <c r="G103" s="86">
        <f>IF(B102&lt;'Умови та класичний графік'!$J$14,J103+K103+L103,"")</f>
        <v>174053.6529680368</v>
      </c>
      <c r="H103" s="87"/>
      <c r="I103" s="32">
        <f>IF(B102&lt;'Умови та класичний графік'!$J$14,I102-J103,"")</f>
        <v>7208333.3333333479</v>
      </c>
      <c r="J103" s="32">
        <f>IF(B102&lt;'Умови та класичний графік'!$J$14,J102,"")</f>
        <v>41666.666666666664</v>
      </c>
      <c r="K103" s="32">
        <f>IF(B102&lt;'Умови та класичний графік'!$J$14,((I102*'Умови та класичний графік'!$J$22)/365)*F103,"")</f>
        <v>132386.98630137014</v>
      </c>
      <c r="L103" s="30">
        <f>IF(B102&lt;'Умови та класичний графік'!$J$14,SUM(M103:V103),"")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графік'!$J$14,XIRR($G$36:G103,$C$36:C103,0),"")</f>
        <v>0.13422724121093754</v>
      </c>
      <c r="X103" s="42"/>
      <c r="Y103" s="35"/>
    </row>
    <row r="104" spans="2:25" x14ac:dyDescent="0.2">
      <c r="B104" s="25">
        <v>68</v>
      </c>
      <c r="C104" s="36">
        <f>IF(B103&lt;'Умови та класичний графік'!$J$14,EDATE(C103,1),"")</f>
        <v>46266</v>
      </c>
      <c r="D104" s="36">
        <f>IF(B103&lt;'Умови та класичний графік'!$J$14,C103,"")</f>
        <v>46235</v>
      </c>
      <c r="E104" s="26">
        <f>IF(B103&lt;'Умови та класичний графік'!$J$14,C104-1,"")</f>
        <v>46265</v>
      </c>
      <c r="F104" s="37">
        <f>IF(B103&lt;'Умови та класичний графік'!$J$14,E104-D104+1,"")</f>
        <v>31</v>
      </c>
      <c r="G104" s="86">
        <f>IF(B103&lt;'Умови та класичний графік'!$J$14,J104+K104+L104,"")</f>
        <v>173292.80821917832</v>
      </c>
      <c r="H104" s="87"/>
      <c r="I104" s="32">
        <f>IF(B103&lt;'Умови та класичний графік'!$J$14,I103-J104,"")</f>
        <v>7166666.6666666809</v>
      </c>
      <c r="J104" s="32">
        <f>IF(B103&lt;'Умови та класичний графік'!$J$14,J103,"")</f>
        <v>41666.666666666664</v>
      </c>
      <c r="K104" s="32">
        <f>IF(B103&lt;'Умови та класичний графік'!$J$14,((I103*'Умови та класичний графік'!$J$22)/365)*F104,"")</f>
        <v>131626.14155251166</v>
      </c>
      <c r="L104" s="30">
        <f>IF(B103&lt;'Умови та класичний графік'!$J$14,SUM(M104:V104),"")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графік'!$J$14,XIRR($G$36:G104,$C$36:C104,0),"")</f>
        <v>0.13828222167968757</v>
      </c>
      <c r="X104" s="42"/>
      <c r="Y104" s="35"/>
    </row>
    <row r="105" spans="2:25" x14ac:dyDescent="0.2">
      <c r="B105" s="25">
        <v>69</v>
      </c>
      <c r="C105" s="36">
        <f>IF(B104&lt;'Умови та класичний графік'!$J$14,EDATE(C104,1),"")</f>
        <v>46296</v>
      </c>
      <c r="D105" s="36">
        <f>IF(B104&lt;'Умови та класичний графік'!$J$14,C104,"")</f>
        <v>46266</v>
      </c>
      <c r="E105" s="26">
        <f>IF(B104&lt;'Умови та класичний графік'!$J$14,C105-1,"")</f>
        <v>46295</v>
      </c>
      <c r="F105" s="37">
        <f>IF(B104&lt;'Умови та класичний графік'!$J$14,E105-D105+1,"")</f>
        <v>30</v>
      </c>
      <c r="G105" s="86">
        <f>IF(B104&lt;'Умови та класичний графік'!$J$14,J105+K105+L105,"")</f>
        <v>168310.50228310525</v>
      </c>
      <c r="H105" s="87"/>
      <c r="I105" s="32">
        <f>IF(B104&lt;'Умови та класичний графік'!$J$14,I104-J105,"")</f>
        <v>7125000.000000014</v>
      </c>
      <c r="J105" s="32">
        <f>IF(B104&lt;'Умови та класичний графік'!$J$14,J104,"")</f>
        <v>41666.666666666664</v>
      </c>
      <c r="K105" s="32">
        <f>IF(B104&lt;'Умови та класичний графік'!$J$14,((I104*'Умови та класичний графік'!$J$22)/365)*F105,"")</f>
        <v>126643.83561643859</v>
      </c>
      <c r="L105" s="30">
        <f>IF(B104&lt;'Умови та класичний графік'!$J$14,SUM(M105:V105),"")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графік'!$J$14,XIRR($G$36:G105,$C$36:C105,0),"")</f>
        <v>0.14208653808593752</v>
      </c>
      <c r="X105" s="42"/>
      <c r="Y105" s="35"/>
    </row>
    <row r="106" spans="2:25" x14ac:dyDescent="0.2">
      <c r="B106" s="25">
        <v>70</v>
      </c>
      <c r="C106" s="36">
        <f>IF(B105&lt;'Умови та класичний графік'!$J$14,EDATE(C105,1),"")</f>
        <v>46327</v>
      </c>
      <c r="D106" s="36">
        <f>IF(B105&lt;'Умови та класичний графік'!$J$14,C105,"")</f>
        <v>46296</v>
      </c>
      <c r="E106" s="26">
        <f>IF(B105&lt;'Умови та класичний графік'!$J$14,C106-1,"")</f>
        <v>46326</v>
      </c>
      <c r="F106" s="37">
        <f>IF(B105&lt;'Умови та класичний графік'!$J$14,E106-D106+1,"")</f>
        <v>31</v>
      </c>
      <c r="G106" s="86">
        <f>IF(B105&lt;'Умови та класичний графік'!$J$14,J106+K106+L106,"")</f>
        <v>171771.11872146145</v>
      </c>
      <c r="H106" s="87"/>
      <c r="I106" s="32">
        <f>IF(B105&lt;'Умови та класичний графік'!$J$14,I105-J106,"")</f>
        <v>7083333.333333347</v>
      </c>
      <c r="J106" s="32">
        <f>IF(B105&lt;'Умови та класичний графік'!$J$14,J105,"")</f>
        <v>41666.666666666664</v>
      </c>
      <c r="K106" s="32">
        <f>IF(B105&lt;'Умови та класичний графік'!$J$14,((I105*'Умови та класичний графік'!$J$22)/365)*F106,"")</f>
        <v>130104.45205479479</v>
      </c>
      <c r="L106" s="30">
        <f>IF(B105&lt;'Умови та класичний графік'!$J$14,SUM(M106:V106),"")</f>
        <v>0</v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>
        <f>IF(B105&lt;'Умови та класичний графік'!$J$14,XIRR($G$36:G106,$C$36:C106,0),"")</f>
        <v>0.1458366455078125</v>
      </c>
      <c r="X106" s="42"/>
      <c r="Y106" s="35"/>
    </row>
    <row r="107" spans="2:25" x14ac:dyDescent="0.2">
      <c r="B107" s="25">
        <v>71</v>
      </c>
      <c r="C107" s="36">
        <f>IF(B106&lt;'Умови та класичний графік'!$J$14,EDATE(C106,1),"")</f>
        <v>46357</v>
      </c>
      <c r="D107" s="36">
        <f>IF(B106&lt;'Умови та класичний графік'!$J$14,C106,"")</f>
        <v>46327</v>
      </c>
      <c r="E107" s="26">
        <f>IF(B106&lt;'Умови та класичний графік'!$J$14,C107-1,"")</f>
        <v>46356</v>
      </c>
      <c r="F107" s="37">
        <f>IF(B106&lt;'Умови та класичний графік'!$J$14,E107-D107+1,"")</f>
        <v>30</v>
      </c>
      <c r="G107" s="86">
        <f>IF(B106&lt;'Умови та класичний графік'!$J$14,J107+K107+L107,"")</f>
        <v>166837.89954337923</v>
      </c>
      <c r="H107" s="87"/>
      <c r="I107" s="32">
        <f>IF(B106&lt;'Умови та класичний графік'!$J$14,I106-J107,"")</f>
        <v>7041666.66666668</v>
      </c>
      <c r="J107" s="32">
        <f>IF(B106&lt;'Умови та класичний графік'!$J$14,J106,"")</f>
        <v>41666.666666666664</v>
      </c>
      <c r="K107" s="32">
        <f>IF(B106&lt;'Умови та класичний графік'!$J$14,((I106*'Умови та класичний графік'!$J$22)/365)*F107,"")</f>
        <v>125171.23287671257</v>
      </c>
      <c r="L107" s="30">
        <f>IF(B106&lt;'Умови та класичний графік'!$J$14,SUM(M107:V107),"")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графік'!$J$14,XIRR($G$36:G107,$C$36:C107,0),"")</f>
        <v>0.14935707519531255</v>
      </c>
      <c r="X107" s="42"/>
      <c r="Y107" s="35"/>
    </row>
    <row r="108" spans="2:25" x14ac:dyDescent="0.2">
      <c r="B108" s="25">
        <v>72</v>
      </c>
      <c r="C108" s="36">
        <f>IF(B107&lt;'Умови та класичний графік'!$J$14,EDATE(C107,1),"")</f>
        <v>46388</v>
      </c>
      <c r="D108" s="36">
        <f>IF(B107&lt;'Умови та класичний графік'!$J$14,C107,"")</f>
        <v>46357</v>
      </c>
      <c r="E108" s="26">
        <f>IF(B107&lt;'Умови та класичний графік'!$J$14,C108-1,"")</f>
        <v>46387</v>
      </c>
      <c r="F108" s="37">
        <f>IF(B107&lt;'Умови та класичний графік'!$J$14,E108-D108+1,"")</f>
        <v>31</v>
      </c>
      <c r="G108" s="86">
        <f>IF(B107&lt;'Умови та класичний графік'!$J$14,J108+K108+L108,"")</f>
        <v>231749.42922374461</v>
      </c>
      <c r="H108" s="87"/>
      <c r="I108" s="32">
        <f>IF(B107&lt;'Умови та класичний графік'!$J$14,I107-J108,"")</f>
        <v>7000000.000000013</v>
      </c>
      <c r="J108" s="32">
        <f>IF(B107&lt;'Умови та класичний графік'!$J$14,J107,"")</f>
        <v>41666.666666666664</v>
      </c>
      <c r="K108" s="32">
        <f>IF(B107&lt;'Умови та класичний графік'!$J$14,((I107*'Умови та класичний графік'!$J$22)/365)*F108,"")</f>
        <v>128582.76255707788</v>
      </c>
      <c r="L108" s="30">
        <f>IF(B107&lt;'Умови та класичний графік'!$J$14,SUM(M108:V108),"")</f>
        <v>61500.000000000044</v>
      </c>
      <c r="M108" s="38"/>
      <c r="N108" s="39"/>
      <c r="O108" s="39"/>
      <c r="P108" s="32"/>
      <c r="Q108" s="40"/>
      <c r="R108" s="40"/>
      <c r="S108" s="41"/>
      <c r="T108" s="41"/>
      <c r="U108" s="33">
        <f>IF(B107&lt;'Умови та класичний графік'!$J$14,('Умови та класичний графік'!$J$15*$N$20)+(I108*$N$21),"")</f>
        <v>61500.000000000044</v>
      </c>
      <c r="V108" s="41"/>
      <c r="W108" s="43">
        <f>IF(B107&lt;'Умови та класичний графік'!$J$14,XIRR($G$36:G108,$C$36:C108,0),"")</f>
        <v>0.15406418457031246</v>
      </c>
      <c r="X108" s="42"/>
      <c r="Y108" s="35"/>
    </row>
    <row r="109" spans="2:25" x14ac:dyDescent="0.2">
      <c r="B109" s="25">
        <v>73</v>
      </c>
      <c r="C109" s="36">
        <f>IF(B108&lt;'Умови та класичний графік'!$J$14,EDATE(C108,1),"")</f>
        <v>46419</v>
      </c>
      <c r="D109" s="36">
        <f>IF(B108&lt;'Умови та класичний графік'!$J$14,C108,"")</f>
        <v>46388</v>
      </c>
      <c r="E109" s="26">
        <f>IF(B108&lt;'Умови та класичний графік'!$J$14,C109-1,"")</f>
        <v>46418</v>
      </c>
      <c r="F109" s="37">
        <f>IF(B108&lt;'Умови та класичний графік'!$J$14,E109-D109+1,"")</f>
        <v>31</v>
      </c>
      <c r="G109" s="86">
        <f>IF(B108&lt;'Умови та класичний графік'!$J$14,J109+K109+L109,"")</f>
        <v>169488.58447488607</v>
      </c>
      <c r="H109" s="87"/>
      <c r="I109" s="32">
        <f>IF(B108&lt;'Умови та класичний графік'!$J$14,I108-J109,"")</f>
        <v>6958333.3333333461</v>
      </c>
      <c r="J109" s="32">
        <f>IF(B108&lt;'Умови та класичний графік'!$J$14,J108,"")</f>
        <v>41666.666666666664</v>
      </c>
      <c r="K109" s="32">
        <f>IF(B108&lt;'Умови та класичний графік'!$J$14,((I108*'Умови та класичний графік'!$J$22)/365)*F109,"")</f>
        <v>127821.91780821941</v>
      </c>
      <c r="L109" s="30">
        <f>IF(B108&lt;'Умови та класичний графік'!$J$14,SUM(M109:V109),"")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графік'!$J$14,XIRR($G$36:G109,$C$36:C109,0),"")</f>
        <v>0.1573781396484375</v>
      </c>
      <c r="X109" s="42"/>
      <c r="Y109" s="35"/>
    </row>
    <row r="110" spans="2:25" x14ac:dyDescent="0.2">
      <c r="B110" s="25">
        <v>74</v>
      </c>
      <c r="C110" s="36">
        <f>IF(B109&lt;'Умови та класичний графік'!$J$14,EDATE(C109,1),"")</f>
        <v>46447</v>
      </c>
      <c r="D110" s="36">
        <f>IF(B109&lt;'Умови та класичний графік'!$J$14,C109,"")</f>
        <v>46419</v>
      </c>
      <c r="E110" s="26">
        <f>IF(B109&lt;'Умови та класичний графік'!$J$14,C110-1,"")</f>
        <v>46446</v>
      </c>
      <c r="F110" s="37">
        <f>IF(B109&lt;'Умови та класичний графік'!$J$14,E110-D110+1,"")</f>
        <v>28</v>
      </c>
      <c r="G110" s="86">
        <f>IF(B109&lt;'Умови та класичний графік'!$J$14,J110+K110+L110,"")</f>
        <v>156431.50684931528</v>
      </c>
      <c r="H110" s="87"/>
      <c r="I110" s="32">
        <f>IF(B109&lt;'Умови та класичний графік'!$J$14,I109-J110,"")</f>
        <v>6916666.6666666791</v>
      </c>
      <c r="J110" s="32">
        <f>IF(B109&lt;'Умови та класичний графік'!$J$14,J109,"")</f>
        <v>41666.666666666664</v>
      </c>
      <c r="K110" s="32">
        <f>IF(B109&lt;'Умови та класичний графік'!$J$14,((I109*'Умови та класичний графік'!$J$22)/365)*F110,"")</f>
        <v>114764.84018264861</v>
      </c>
      <c r="L110" s="30">
        <f>IF(B109&lt;'Умови та класичний графік'!$J$14,SUM(M110:V110),"")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графік'!$J$14,XIRR($G$36:G110,$C$36:C110,0),"")</f>
        <v>0.16034110839843752</v>
      </c>
      <c r="X110" s="42"/>
      <c r="Y110" s="35"/>
    </row>
    <row r="111" spans="2:25" x14ac:dyDescent="0.2">
      <c r="B111" s="25">
        <v>75</v>
      </c>
      <c r="C111" s="36">
        <f>IF(B110&lt;'Умови та класичний графік'!$J$14,EDATE(C110,1),"")</f>
        <v>46478</v>
      </c>
      <c r="D111" s="36">
        <f>IF(B110&lt;'Умови та класичний графік'!$J$14,C110,"")</f>
        <v>46447</v>
      </c>
      <c r="E111" s="26">
        <f>IF(B110&lt;'Умови та класичний графік'!$J$14,C111-1,"")</f>
        <v>46477</v>
      </c>
      <c r="F111" s="37">
        <f>IF(B110&lt;'Умови та класичний графік'!$J$14,E111-D111+1,"")</f>
        <v>31</v>
      </c>
      <c r="G111" s="86">
        <f>IF(B110&lt;'Умови та класичний графік'!$J$14,J111+K111+L111,"")</f>
        <v>167966.89497716917</v>
      </c>
      <c r="H111" s="87"/>
      <c r="I111" s="32">
        <f>IF(B110&lt;'Умови та класичний графік'!$J$14,I110-J111,"")</f>
        <v>6875000.0000000121</v>
      </c>
      <c r="J111" s="32">
        <f>IF(B110&lt;'Умови та класичний графік'!$J$14,J110,"")</f>
        <v>41666.666666666664</v>
      </c>
      <c r="K111" s="32">
        <f>IF(B110&lt;'Умови та класичний графік'!$J$14,((I110*'Умови та класичний графік'!$J$22)/365)*F111,"")</f>
        <v>126300.22831050251</v>
      </c>
      <c r="L111" s="30">
        <f>IF(B110&lt;'Умови та класичний графік'!$J$14,SUM(M111:V111),"")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графік'!$J$14,XIRR($G$36:G111,$C$36:C111,0),"")</f>
        <v>0.16342014160156249</v>
      </c>
      <c r="X111" s="42"/>
      <c r="Y111" s="35"/>
    </row>
    <row r="112" spans="2:25" x14ac:dyDescent="0.2">
      <c r="B112" s="25">
        <v>76</v>
      </c>
      <c r="C112" s="36">
        <f>IF(B111&lt;'Умови та класичний графік'!$J$14,EDATE(C111,1),"")</f>
        <v>46508</v>
      </c>
      <c r="D112" s="36">
        <f>IF(B111&lt;'Умови та класичний графік'!$J$14,C111,"")</f>
        <v>46478</v>
      </c>
      <c r="E112" s="26">
        <f>IF(B111&lt;'Умови та класичний графік'!$J$14,C112-1,"")</f>
        <v>46507</v>
      </c>
      <c r="F112" s="37">
        <f>IF(B111&lt;'Умови та класичний графік'!$J$14,E112-D112+1,"")</f>
        <v>30</v>
      </c>
      <c r="G112" s="86">
        <f>IF(B111&lt;'Умови та класичний графік'!$J$14,J112+K112+L112,"")</f>
        <v>163156.39269406412</v>
      </c>
      <c r="H112" s="87"/>
      <c r="I112" s="32">
        <f>IF(B111&lt;'Умови та класичний графік'!$J$14,I111-J112,"")</f>
        <v>6833333.3333333451</v>
      </c>
      <c r="J112" s="32">
        <f>IF(B111&lt;'Умови та класичний графік'!$J$14,J111,"")</f>
        <v>41666.666666666664</v>
      </c>
      <c r="K112" s="32">
        <f>IF(B111&lt;'Умови та класичний графік'!$J$14,((I111*'Умови та класичний графік'!$J$22)/365)*F112,"")</f>
        <v>121489.72602739747</v>
      </c>
      <c r="L112" s="30">
        <f>IF(B111&lt;'Умови та класичний графік'!$J$14,SUM(M112:V112),"")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графік'!$J$14,XIRR($G$36:G112,$C$36:C112,0),"")</f>
        <v>0.16631510253906245</v>
      </c>
      <c r="X112" s="42"/>
      <c r="Y112" s="35"/>
    </row>
    <row r="113" spans="2:25" x14ac:dyDescent="0.2">
      <c r="B113" s="25">
        <v>77</v>
      </c>
      <c r="C113" s="36">
        <f>IF(B112&lt;'Умови та класичний графік'!$J$14,EDATE(C112,1),"")</f>
        <v>46539</v>
      </c>
      <c r="D113" s="36">
        <f>IF(B112&lt;'Умови та класичний графік'!$J$14,C112,"")</f>
        <v>46508</v>
      </c>
      <c r="E113" s="26">
        <f>IF(B112&lt;'Умови та класичний графік'!$J$14,C113-1,"")</f>
        <v>46538</v>
      </c>
      <c r="F113" s="37">
        <f>IF(B112&lt;'Умови та класичний графік'!$J$14,E113-D113+1,"")</f>
        <v>31</v>
      </c>
      <c r="G113" s="86">
        <f>IF(B112&lt;'Умови та класичний графік'!$J$14,J113+K113+L113,"")</f>
        <v>166445.20547945224</v>
      </c>
      <c r="H113" s="87"/>
      <c r="I113" s="32">
        <f>IF(B112&lt;'Умови та класичний графік'!$J$14,I112-J113,"")</f>
        <v>6791666.6666666782</v>
      </c>
      <c r="J113" s="32">
        <f>IF(B112&lt;'Умови та класичний графік'!$J$14,J112,"")</f>
        <v>41666.666666666664</v>
      </c>
      <c r="K113" s="32">
        <f>IF(B112&lt;'Умови та класичний графік'!$J$14,((I112*'Умови та класичний графік'!$J$22)/365)*F113,"")</f>
        <v>124778.53881278558</v>
      </c>
      <c r="L113" s="30">
        <f>IF(B112&lt;'Умови та класичний графік'!$J$14,SUM(M113:V113),"")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графік'!$J$14,XIRR($G$36:G113,$C$36:C113,0),"")</f>
        <v>0.16917326660156251</v>
      </c>
      <c r="X113" s="42"/>
      <c r="Y113" s="35"/>
    </row>
    <row r="114" spans="2:25" x14ac:dyDescent="0.2">
      <c r="B114" s="25">
        <v>78</v>
      </c>
      <c r="C114" s="36">
        <f>IF(B113&lt;'Умови та класичний графік'!$J$14,EDATE(C113,1),"")</f>
        <v>46569</v>
      </c>
      <c r="D114" s="36">
        <f>IF(B113&lt;'Умови та класичний графік'!$J$14,C113,"")</f>
        <v>46539</v>
      </c>
      <c r="E114" s="26">
        <f>IF(B113&lt;'Умови та класичний графік'!$J$14,C114-1,"")</f>
        <v>46568</v>
      </c>
      <c r="F114" s="37">
        <f>IF(B113&lt;'Умови та класичний графік'!$J$14,E114-D114+1,"")</f>
        <v>30</v>
      </c>
      <c r="G114" s="86">
        <f>IF(B113&lt;'Умови та класичний графік'!$J$14,J114+K114+L114,"")</f>
        <v>161683.78995433811</v>
      </c>
      <c r="H114" s="87"/>
      <c r="I114" s="32">
        <f>IF(B113&lt;'Умови та класичний графік'!$J$14,I113-J114,"")</f>
        <v>6750000.0000000112</v>
      </c>
      <c r="J114" s="32">
        <f>IF(B113&lt;'Умови та класичний графік'!$J$14,J113,"")</f>
        <v>41666.666666666664</v>
      </c>
      <c r="K114" s="32">
        <f>IF(B113&lt;'Умови та класичний графік'!$J$14,((I113*'Умови та класичний графік'!$J$22)/365)*F114,"")</f>
        <v>120017.12328767143</v>
      </c>
      <c r="L114" s="30">
        <f>IF(B113&lt;'Умови та класичний графік'!$J$14,SUM(M114:V114),"")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графік'!$J$14,XIRR($G$36:G114,$C$36:C114,0),"")</f>
        <v>0.17186198730468749</v>
      </c>
      <c r="X114" s="42"/>
      <c r="Y114" s="35"/>
    </row>
    <row r="115" spans="2:25" x14ac:dyDescent="0.2">
      <c r="B115" s="25">
        <v>79</v>
      </c>
      <c r="C115" s="36">
        <f>IF(B114&lt;'Умови та класичний графік'!$J$14,EDATE(C114,1),"")</f>
        <v>46600</v>
      </c>
      <c r="D115" s="36">
        <f>IF(B114&lt;'Умови та класичний графік'!$J$14,C114,"")</f>
        <v>46569</v>
      </c>
      <c r="E115" s="26">
        <f>IF(B114&lt;'Умови та класичний графік'!$J$14,C115-1,"")</f>
        <v>46599</v>
      </c>
      <c r="F115" s="37">
        <f>IF(B114&lt;'Умови та класичний графік'!$J$14,E115-D115+1,"")</f>
        <v>31</v>
      </c>
      <c r="G115" s="86">
        <f>IF(B114&lt;'Умови та класичний графік'!$J$14,J115+K115+L115,"")</f>
        <v>164923.51598173537</v>
      </c>
      <c r="H115" s="87"/>
      <c r="I115" s="32">
        <f>IF(B114&lt;'Умови та класичний графік'!$J$14,I114-J115,"")</f>
        <v>6708333.3333333442</v>
      </c>
      <c r="J115" s="32">
        <f>IF(B114&lt;'Умови та класичний графік'!$J$14,J114,"")</f>
        <v>41666.666666666664</v>
      </c>
      <c r="K115" s="32">
        <f>IF(B114&lt;'Умови та класичний графік'!$J$14,((I114*'Умови та класичний графік'!$J$22)/365)*F115,"")</f>
        <v>123256.8493150687</v>
      </c>
      <c r="L115" s="30">
        <f>IF(B114&lt;'Умови та класичний графік'!$J$14,SUM(M115:V115),"")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графік'!$J$14,XIRR($G$36:G115,$C$36:C115,0),"")</f>
        <v>0.17451748535156247</v>
      </c>
      <c r="X115" s="42"/>
      <c r="Y115" s="35"/>
    </row>
    <row r="116" spans="2:25" x14ac:dyDescent="0.2">
      <c r="B116" s="25">
        <v>80</v>
      </c>
      <c r="C116" s="36">
        <f>IF(B115&lt;'Умови та класичний графік'!$J$14,EDATE(C115,1),"")</f>
        <v>46631</v>
      </c>
      <c r="D116" s="36">
        <f>IF(B115&lt;'Умови та класичний графік'!$J$14,C115,"")</f>
        <v>46600</v>
      </c>
      <c r="E116" s="26">
        <f>IF(B115&lt;'Умови та класичний графік'!$J$14,C116-1,"")</f>
        <v>46630</v>
      </c>
      <c r="F116" s="37">
        <f>IF(B115&lt;'Умови та класичний графік'!$J$14,E116-D116+1,"")</f>
        <v>31</v>
      </c>
      <c r="G116" s="86">
        <f>IF(B115&lt;'Умови та класичний графік'!$J$14,J116+K116+L116,"")</f>
        <v>164162.67123287692</v>
      </c>
      <c r="H116" s="87"/>
      <c r="I116" s="32">
        <f>IF(B115&lt;'Умови та класичний графік'!$J$14,I115-J116,"")</f>
        <v>6666666.6666666772</v>
      </c>
      <c r="J116" s="32">
        <f>IF(B115&lt;'Умови та класичний графік'!$J$14,J115,"")</f>
        <v>41666.666666666664</v>
      </c>
      <c r="K116" s="32">
        <f>IF(B115&lt;'Умови та класичний графік'!$J$14,((I115*'Умови та класичний графік'!$J$22)/365)*F116,"")</f>
        <v>122496.00456621025</v>
      </c>
      <c r="L116" s="30">
        <f>IF(B115&lt;'Умови та класичний графік'!$J$14,SUM(M116:V116),"")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графік'!$J$14,XIRR($G$36:G116,$C$36:C116,0),"")</f>
        <v>0.17707680175781249</v>
      </c>
      <c r="X116" s="42"/>
      <c r="Y116" s="35"/>
    </row>
    <row r="117" spans="2:25" x14ac:dyDescent="0.2">
      <c r="B117" s="25">
        <v>81</v>
      </c>
      <c r="C117" s="36">
        <f>IF(B116&lt;'Умови та класичний графік'!$J$14,EDATE(C116,1),"")</f>
        <v>46661</v>
      </c>
      <c r="D117" s="36">
        <f>IF(B116&lt;'Умови та класичний графік'!$J$14,C116,"")</f>
        <v>46631</v>
      </c>
      <c r="E117" s="26">
        <f>IF(B116&lt;'Умови та класичний графік'!$J$14,C117-1,"")</f>
        <v>46660</v>
      </c>
      <c r="F117" s="37">
        <f>IF(B116&lt;'Умови та класичний графік'!$J$14,E117-D117+1,"")</f>
        <v>30</v>
      </c>
      <c r="G117" s="86">
        <f>IF(B116&lt;'Умови та класичний графік'!$J$14,J117+K117+L117,"")</f>
        <v>159474.88584474905</v>
      </c>
      <c r="H117" s="87"/>
      <c r="I117" s="32">
        <f>IF(B116&lt;'Умови та класичний графік'!$J$14,I116-J117,"")</f>
        <v>6625000.0000000102</v>
      </c>
      <c r="J117" s="32">
        <f>IF(B116&lt;'Умови та класичний графік'!$J$14,J116,"")</f>
        <v>41666.666666666664</v>
      </c>
      <c r="K117" s="32">
        <f>IF(B116&lt;'Умови та класичний графік'!$J$14,((I116*'Умови та класичний графік'!$J$22)/365)*F117,"")</f>
        <v>117808.21917808238</v>
      </c>
      <c r="L117" s="30">
        <f>IF(B116&lt;'Умови та класичний графік'!$J$14,SUM(M117:V117),"")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графік'!$J$14,XIRR($G$36:G117,$C$36:C117,0),"")</f>
        <v>0.1794862548828125</v>
      </c>
      <c r="X117" s="42"/>
      <c r="Y117" s="35"/>
    </row>
    <row r="118" spans="2:25" x14ac:dyDescent="0.2">
      <c r="B118" s="25">
        <v>82</v>
      </c>
      <c r="C118" s="36">
        <f>IF(B117&lt;'Умови та класичний графік'!$J$14,EDATE(C117,1),"")</f>
        <v>46692</v>
      </c>
      <c r="D118" s="36">
        <f>IF(B117&lt;'Умови та класичний графік'!$J$14,C117,"")</f>
        <v>46661</v>
      </c>
      <c r="E118" s="26">
        <f>IF(B117&lt;'Умови та класичний графік'!$J$14,C118-1,"")</f>
        <v>46691</v>
      </c>
      <c r="F118" s="37">
        <f>IF(B117&lt;'Умови та класичний графік'!$J$14,E118-D118+1,"")</f>
        <v>31</v>
      </c>
      <c r="G118" s="86">
        <f>IF(B117&lt;'Умови та класичний графік'!$J$14,J118+K118+L118,"")</f>
        <v>162640.98173515999</v>
      </c>
      <c r="H118" s="87"/>
      <c r="I118" s="32">
        <f>IF(B117&lt;'Умови та класичний графік'!$J$14,I117-J118,"")</f>
        <v>6583333.3333333433</v>
      </c>
      <c r="J118" s="32">
        <f>IF(B117&lt;'Умови та класичний графік'!$J$14,J117,"")</f>
        <v>41666.666666666664</v>
      </c>
      <c r="K118" s="32">
        <f>IF(B117&lt;'Умови та класичний графік'!$J$14,((I117*'Умови та класичний графік'!$J$22)/365)*F118,"")</f>
        <v>120974.31506849332</v>
      </c>
      <c r="L118" s="30">
        <f>IF(B117&lt;'Умови та класичний графік'!$J$14,SUM(M118:V118),"")</f>
        <v>0</v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>
        <f>IF(B117&lt;'Умови та класичний графік'!$J$14,XIRR($G$36:G118,$C$36:C118,0),"")</f>
        <v>0.1818671533203125</v>
      </c>
      <c r="X118" s="42"/>
      <c r="Y118" s="35"/>
    </row>
    <row r="119" spans="2:25" x14ac:dyDescent="0.2">
      <c r="B119" s="25">
        <v>83</v>
      </c>
      <c r="C119" s="36">
        <f>IF(B118&lt;'Умови та класичний графік'!$J$14,EDATE(C118,1),"")</f>
        <v>46722</v>
      </c>
      <c r="D119" s="36">
        <f>IF(B118&lt;'Умови та класичний графік'!$J$14,C118,"")</f>
        <v>46692</v>
      </c>
      <c r="E119" s="26">
        <f>IF(B118&lt;'Умови та класичний графік'!$J$14,C119-1,"")</f>
        <v>46721</v>
      </c>
      <c r="F119" s="37">
        <f>IF(B118&lt;'Умови та класичний графік'!$J$14,E119-D119+1,"")</f>
        <v>30</v>
      </c>
      <c r="G119" s="86">
        <f>IF(B118&lt;'Умови та класичний графік'!$J$14,J119+K119+L119,"")</f>
        <v>158002.283105023</v>
      </c>
      <c r="H119" s="87"/>
      <c r="I119" s="32">
        <f>IF(B118&lt;'Умови та класичний графік'!$J$14,I118-J119,"")</f>
        <v>6541666.6666666763</v>
      </c>
      <c r="J119" s="32">
        <f>IF(B118&lt;'Умови та класичний графік'!$J$14,J118,"")</f>
        <v>41666.666666666664</v>
      </c>
      <c r="K119" s="32">
        <f>IF(B118&lt;'Умови та класичний графік'!$J$14,((I118*'Умови та класичний графік'!$J$22)/365)*F119,"")</f>
        <v>116335.61643835634</v>
      </c>
      <c r="L119" s="30">
        <f>IF(B118&lt;'Умови та класичний графік'!$J$14,SUM(M119:V119),"")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графік'!$J$14,XIRR($G$36:G119,$C$36:C119,0),"")</f>
        <v>0.18410974121093759</v>
      </c>
      <c r="X119" s="42"/>
      <c r="Y119" s="35"/>
    </row>
    <row r="120" spans="2:25" x14ac:dyDescent="0.2">
      <c r="B120" s="25">
        <v>84</v>
      </c>
      <c r="C120" s="36">
        <f>IF(B119&lt;'Умови та класичний графік'!$J$14,EDATE(C119,1),"")</f>
        <v>46753</v>
      </c>
      <c r="D120" s="36">
        <f>IF(B119&lt;'Умови та класичний графік'!$J$14,C119,"")</f>
        <v>46722</v>
      </c>
      <c r="E120" s="26">
        <f>IF(B119&lt;'Умови та класичний графік'!$J$14,C120-1,"")</f>
        <v>46752</v>
      </c>
      <c r="F120" s="37">
        <f>IF(B119&lt;'Умови та класичний графік'!$J$14,E120-D120+1,"")</f>
        <v>31</v>
      </c>
      <c r="G120" s="86">
        <f>IF(B119&lt;'Умови та класичний графік'!$J$14,J120+K120+L120,"")</f>
        <v>221119.29223744312</v>
      </c>
      <c r="H120" s="87"/>
      <c r="I120" s="32">
        <f>IF(B119&lt;'Умови та класичний графік'!$J$14,I119-J120,"")</f>
        <v>6500000.0000000093</v>
      </c>
      <c r="J120" s="32">
        <f>IF(B119&lt;'Умови та класичний графік'!$J$14,J119,"")</f>
        <v>41666.666666666664</v>
      </c>
      <c r="K120" s="32">
        <f>IF(B119&lt;'Умови та класичний графік'!$J$14,((I119*'Умови та класичний графік'!$J$22)/365)*F120,"")</f>
        <v>119452.62557077642</v>
      </c>
      <c r="L120" s="30">
        <f>IF(B119&lt;'Умови та класичний графік'!$J$14,SUM(M120:V120),"")</f>
        <v>60000.000000000029</v>
      </c>
      <c r="M120" s="38"/>
      <c r="N120" s="39"/>
      <c r="O120" s="39"/>
      <c r="P120" s="32"/>
      <c r="Q120" s="40"/>
      <c r="R120" s="40"/>
      <c r="S120" s="41"/>
      <c r="T120" s="41"/>
      <c r="U120" s="33">
        <f>IF(B119&lt;'Умови та класичний графік'!$J$14,('Умови та класичний графік'!$J$15*$N$20)+(I120*$N$21),"")</f>
        <v>60000.000000000029</v>
      </c>
      <c r="V120" s="41"/>
      <c r="W120" s="43">
        <f>IF(B119&lt;'Умови та класичний графік'!$J$14,XIRR($G$36:G120,$C$36:C120,0),"")</f>
        <v>0.18714254394531254</v>
      </c>
      <c r="X120" s="42"/>
      <c r="Y120" s="35"/>
    </row>
    <row r="121" spans="2:25" x14ac:dyDescent="0.2">
      <c r="B121" s="25">
        <v>85</v>
      </c>
      <c r="C121" s="36">
        <f>IF(B120&lt;'Умови та класичний графік'!$J$14,EDATE(C120,1),"")</f>
        <v>46784</v>
      </c>
      <c r="D121" s="36">
        <f>IF(B120&lt;'Умови та класичний графік'!$J$14,C120,"")</f>
        <v>46753</v>
      </c>
      <c r="E121" s="26">
        <f>IF(B120&lt;'Умови та класичний графік'!$J$14,C121-1,"")</f>
        <v>46783</v>
      </c>
      <c r="F121" s="37">
        <f>IF(B120&lt;'Умови та класичний графік'!$J$14,E121-D121+1,"")</f>
        <v>31</v>
      </c>
      <c r="G121" s="86">
        <f>IF(B120&lt;'Умови та класичний графік'!$J$14,J121+K121+L121,"")</f>
        <v>160358.44748858464</v>
      </c>
      <c r="H121" s="87"/>
      <c r="I121" s="32">
        <f>IF(B120&lt;'Умови та класичний графік'!$J$14,I120-J121,"")</f>
        <v>6458333.3333333423</v>
      </c>
      <c r="J121" s="32">
        <f>IF(B120&lt;'Умови та класичний графік'!$J$14,J120,"")</f>
        <v>41666.666666666664</v>
      </c>
      <c r="K121" s="32">
        <f>IF(B120&lt;'Умови та класичний графік'!$J$14,((I120*'Умови та класичний графік'!$J$22)/365)*F121,"")</f>
        <v>118691.78082191799</v>
      </c>
      <c r="L121" s="30">
        <f>IF(B120&lt;'Умови та класичний графік'!$J$14,SUM(M121:V121),"")</f>
        <v>0</v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>
        <f>IF(B120&lt;'Умови та класичний графік'!$J$14,XIRR($G$36:G121,$C$36:C121,0),"")</f>
        <v>0.18926805175781258</v>
      </c>
      <c r="X121" s="42"/>
      <c r="Y121" s="35"/>
    </row>
    <row r="122" spans="2:25" x14ac:dyDescent="0.2">
      <c r="B122" s="25">
        <v>86</v>
      </c>
      <c r="C122" s="36">
        <f>IF(B121&lt;'Умови та класичний графік'!$J$14,EDATE(C121,1),"")</f>
        <v>46813</v>
      </c>
      <c r="D122" s="36">
        <f>IF(B121&lt;'Умови та класичний графік'!$J$14,C121,"")</f>
        <v>46784</v>
      </c>
      <c r="E122" s="26">
        <f>IF(B121&lt;'Умови та класичний графік'!$J$14,C122-1,"")</f>
        <v>46812</v>
      </c>
      <c r="F122" s="37">
        <f>IF(B121&lt;'Умови та класичний графік'!$J$14,E122-D122+1,"")</f>
        <v>29</v>
      </c>
      <c r="G122" s="86">
        <f>IF(B121&lt;'Умови та класичний графік'!$J$14,J122+K122+L122,"")</f>
        <v>151989.1552511417</v>
      </c>
      <c r="H122" s="87"/>
      <c r="I122" s="32">
        <f>IF(B121&lt;'Умови та класичний графік'!$J$14,I121-J122,"")</f>
        <v>6416666.6666666754</v>
      </c>
      <c r="J122" s="32">
        <f>IF(B121&lt;'Умови та класичний графік'!$J$14,J121,"")</f>
        <v>41666.666666666664</v>
      </c>
      <c r="K122" s="32">
        <f>IF(B121&lt;'Умови та класичний графік'!$J$14,((I121*'Умови та класичний графік'!$J$22)/365)*F122,"")</f>
        <v>110322.48858447504</v>
      </c>
      <c r="L122" s="30">
        <f>IF(B121&lt;'Умови та класичний графік'!$J$14,SUM(M122:V122),"")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графік'!$J$14,XIRR($G$36:G122,$C$36:C122,0),"")</f>
        <v>0.19122404785156255</v>
      </c>
      <c r="X122" s="42"/>
      <c r="Y122" s="35"/>
    </row>
    <row r="123" spans="2:25" x14ac:dyDescent="0.2">
      <c r="B123" s="25">
        <v>87</v>
      </c>
      <c r="C123" s="36">
        <f>IF(B122&lt;'Умови та класичний графік'!$J$14,EDATE(C122,1),"")</f>
        <v>46844</v>
      </c>
      <c r="D123" s="36">
        <f>IF(B122&lt;'Умови та класичний графік'!$J$14,C122,"")</f>
        <v>46813</v>
      </c>
      <c r="E123" s="26">
        <f>IF(B122&lt;'Умови та класичний графік'!$J$14,C123-1,"")</f>
        <v>46843</v>
      </c>
      <c r="F123" s="37">
        <f>IF(B122&lt;'Умови та класичний графік'!$J$14,E123-D123+1,"")</f>
        <v>31</v>
      </c>
      <c r="G123" s="86">
        <f>IF(B122&lt;'Умови та класичний графік'!$J$14,J123+K123+L123,"")</f>
        <v>158836.75799086774</v>
      </c>
      <c r="H123" s="87"/>
      <c r="I123" s="32">
        <f>IF(B122&lt;'Умови та класичний графік'!$J$14,I122-J123,"")</f>
        <v>6375000.0000000084</v>
      </c>
      <c r="J123" s="32">
        <f>IF(B122&lt;'Умови та класичний графік'!$J$14,J122,"")</f>
        <v>41666.666666666664</v>
      </c>
      <c r="K123" s="32">
        <f>IF(B122&lt;'Умови та класичний графік'!$J$14,((I122*'Умови та класичний графік'!$J$22)/365)*F123,"")</f>
        <v>117170.09132420107</v>
      </c>
      <c r="L123" s="30">
        <f>IF(B122&lt;'Умови та класичний графік'!$J$14,SUM(M123:V123),"")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графік'!$J$14,XIRR($G$36:G123,$C$36:C123,0),"")</f>
        <v>0.19320726074218753</v>
      </c>
      <c r="X123" s="42"/>
      <c r="Y123" s="35"/>
    </row>
    <row r="124" spans="2:25" x14ac:dyDescent="0.2">
      <c r="B124" s="25">
        <v>88</v>
      </c>
      <c r="C124" s="36">
        <f>IF(B123&lt;'Умови та класичний графік'!$J$14,EDATE(C123,1),"")</f>
        <v>46874</v>
      </c>
      <c r="D124" s="36">
        <f>IF(B123&lt;'Умови та класичний графік'!$J$14,C123,"")</f>
        <v>46844</v>
      </c>
      <c r="E124" s="26">
        <f>IF(B123&lt;'Умови та класичний графік'!$J$14,C124-1,"")</f>
        <v>46873</v>
      </c>
      <c r="F124" s="37">
        <f>IF(B123&lt;'Умови та класичний графік'!$J$14,E124-D124+1,"")</f>
        <v>30</v>
      </c>
      <c r="G124" s="86">
        <f>IF(B123&lt;'Умови та класичний графік'!$J$14,J124+K124+L124,"")</f>
        <v>154320.77625570793</v>
      </c>
      <c r="H124" s="87"/>
      <c r="I124" s="32">
        <f>IF(B123&lt;'Умови та класичний графік'!$J$14,I123-J124,"")</f>
        <v>6333333.3333333414</v>
      </c>
      <c r="J124" s="32">
        <f>IF(B123&lt;'Умови та класичний графік'!$J$14,J123,"")</f>
        <v>41666.666666666664</v>
      </c>
      <c r="K124" s="32">
        <f>IF(B123&lt;'Умови та класичний графік'!$J$14,((I123*'Умови та класичний графік'!$J$22)/365)*F124,"")</f>
        <v>112654.10958904125</v>
      </c>
      <c r="L124" s="30">
        <f>IF(B123&lt;'Умови та класичний графік'!$J$14,SUM(M124:V124),"")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графік'!$J$14,XIRR($G$36:G124,$C$36:C124,0),"")</f>
        <v>0.19507758300781253</v>
      </c>
      <c r="X124" s="42"/>
      <c r="Y124" s="35"/>
    </row>
    <row r="125" spans="2:25" x14ac:dyDescent="0.2">
      <c r="B125" s="25">
        <v>89</v>
      </c>
      <c r="C125" s="36">
        <f>IF(B124&lt;'Умови та класичний графік'!$J$14,EDATE(C124,1),"")</f>
        <v>46905</v>
      </c>
      <c r="D125" s="36">
        <f>IF(B124&lt;'Умови та класичний графік'!$J$14,C124,"")</f>
        <v>46874</v>
      </c>
      <c r="E125" s="26">
        <f>IF(B124&lt;'Умови та класичний графік'!$J$14,C125-1,"")</f>
        <v>46904</v>
      </c>
      <c r="F125" s="37">
        <f>IF(B124&lt;'Умови та класичний графік'!$J$14,E125-D125+1,"")</f>
        <v>31</v>
      </c>
      <c r="G125" s="86">
        <f>IF(B124&lt;'Умови та класичний графік'!$J$14,J125+K125+L125,"")</f>
        <v>157315.06849315081</v>
      </c>
      <c r="H125" s="87"/>
      <c r="I125" s="32">
        <f>IF(B124&lt;'Умови та класичний графік'!$J$14,I124-J125,"")</f>
        <v>6291666.6666666744</v>
      </c>
      <c r="J125" s="32">
        <f>IF(B124&lt;'Умови та класичний графік'!$J$14,J124,"")</f>
        <v>41666.666666666664</v>
      </c>
      <c r="K125" s="32">
        <f>IF(B124&lt;'Умови та класичний графік'!$J$14,((I124*'Умови та класичний графік'!$J$22)/365)*F125,"")</f>
        <v>115648.40182648416</v>
      </c>
      <c r="L125" s="30">
        <f>IF(B124&lt;'Умови та класичний графік'!$J$14,SUM(M125:V125),"")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графік'!$J$14,XIRR($G$36:G125,$C$36:C125,0),"")</f>
        <v>0.19692776855468752</v>
      </c>
      <c r="X125" s="42"/>
      <c r="Y125" s="35"/>
    </row>
    <row r="126" spans="2:25" x14ac:dyDescent="0.2">
      <c r="B126" s="25">
        <v>90</v>
      </c>
      <c r="C126" s="36">
        <f>IF(B125&lt;'Умови та класичний графік'!$J$14,EDATE(C125,1),"")</f>
        <v>46935</v>
      </c>
      <c r="D126" s="36">
        <f>IF(B125&lt;'Умови та класичний графік'!$J$14,C125,"")</f>
        <v>46905</v>
      </c>
      <c r="E126" s="26">
        <f>IF(B125&lt;'Умови та класичний графік'!$J$14,C126-1,"")</f>
        <v>46934</v>
      </c>
      <c r="F126" s="37">
        <f>IF(B125&lt;'Умови та класичний графік'!$J$14,E126-D126+1,"")</f>
        <v>30</v>
      </c>
      <c r="G126" s="86">
        <f>IF(B125&lt;'Умови та класичний графік'!$J$14,J126+K126+L126,"")</f>
        <v>152848.17351598185</v>
      </c>
      <c r="H126" s="87"/>
      <c r="I126" s="32">
        <f>IF(B125&lt;'Умови та класичний графік'!$J$14,I125-J126,"")</f>
        <v>6250000.0000000075</v>
      </c>
      <c r="J126" s="32">
        <f>IF(B125&lt;'Умови та класичний графік'!$J$14,J125,"")</f>
        <v>41666.666666666664</v>
      </c>
      <c r="K126" s="32">
        <f>IF(B125&lt;'Умови та класичний графік'!$J$14,((I125*'Умови та класичний графік'!$J$22)/365)*F126,"")</f>
        <v>111181.50684931519</v>
      </c>
      <c r="L126" s="30">
        <f>IF(B125&lt;'Умови та класичний графік'!$J$14,SUM(M126:V126),"")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графік'!$J$14,XIRR($G$36:G126,$C$36:C126,0),"")</f>
        <v>0.19867340332031252</v>
      </c>
      <c r="X126" s="42"/>
      <c r="Y126" s="35"/>
    </row>
    <row r="127" spans="2:25" x14ac:dyDescent="0.2">
      <c r="B127" s="25">
        <v>91</v>
      </c>
      <c r="C127" s="36">
        <f>IF(B126&lt;'Умови та класичний графік'!$J$14,EDATE(C126,1),"")</f>
        <v>46966</v>
      </c>
      <c r="D127" s="36">
        <f>IF(B126&lt;'Умови та класичний графік'!$J$14,C126,"")</f>
        <v>46935</v>
      </c>
      <c r="E127" s="26">
        <f>IF(B126&lt;'Умови та класичний графік'!$J$14,C127-1,"")</f>
        <v>46965</v>
      </c>
      <c r="F127" s="37">
        <f>IF(B126&lt;'Умови та класичний графік'!$J$14,E127-D127+1,"")</f>
        <v>31</v>
      </c>
      <c r="G127" s="86">
        <f>IF(B126&lt;'Умови та класичний графік'!$J$14,J127+K127+L127,"")</f>
        <v>155793.37899543392</v>
      </c>
      <c r="H127" s="87"/>
      <c r="I127" s="32">
        <f>IF(B126&lt;'Умови та класичний графік'!$J$14,I126-J127,"")</f>
        <v>6208333.3333333405</v>
      </c>
      <c r="J127" s="32">
        <f>IF(B126&lt;'Умови та класичний графік'!$J$14,J126,"")</f>
        <v>41666.666666666664</v>
      </c>
      <c r="K127" s="32">
        <f>IF(B126&lt;'Умови та класичний графік'!$J$14,((I126*'Умови та класичний графік'!$J$22)/365)*F127,"")</f>
        <v>114126.71232876726</v>
      </c>
      <c r="L127" s="30">
        <f>IF(B126&lt;'Умови та класичний графік'!$J$14,SUM(M127:V127),"")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графік'!$J$14,XIRR($G$36:G127,$C$36:C127,0),"")</f>
        <v>0.20040067871093753</v>
      </c>
      <c r="X127" s="42"/>
      <c r="Y127" s="35"/>
    </row>
    <row r="128" spans="2:25" x14ac:dyDescent="0.2">
      <c r="B128" s="25">
        <v>92</v>
      </c>
      <c r="C128" s="36">
        <f>IF(B127&lt;'Умови та класичний графік'!$J$14,EDATE(C127,1),"")</f>
        <v>46997</v>
      </c>
      <c r="D128" s="36">
        <f>IF(B127&lt;'Умови та класичний графік'!$J$14,C127,"")</f>
        <v>46966</v>
      </c>
      <c r="E128" s="26">
        <f>IF(B127&lt;'Умови та класичний графік'!$J$14,C128-1,"")</f>
        <v>46996</v>
      </c>
      <c r="F128" s="37">
        <f>IF(B127&lt;'Умови та класичний графік'!$J$14,E128-D128+1,"")</f>
        <v>31</v>
      </c>
      <c r="G128" s="86">
        <f>IF(B127&lt;'Умови та класичний графік'!$J$14,J128+K128+L128,"")</f>
        <v>155032.53424657547</v>
      </c>
      <c r="H128" s="87"/>
      <c r="I128" s="32">
        <f>IF(B127&lt;'Умови та класичний графік'!$J$14,I127-J128,"")</f>
        <v>6166666.6666666735</v>
      </c>
      <c r="J128" s="32">
        <f>IF(B127&lt;'Умови та класичний графік'!$J$14,J127,"")</f>
        <v>41666.666666666664</v>
      </c>
      <c r="K128" s="32">
        <f>IF(B127&lt;'Умови та класичний графік'!$J$14,((I127*'Умови та класичний графік'!$J$22)/365)*F128,"")</f>
        <v>113365.86757990881</v>
      </c>
      <c r="L128" s="30">
        <f>IF(B127&lt;'Умови та класичний графік'!$J$14,SUM(M128:V128),"")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графік'!$J$14,XIRR($G$36:G128,$C$36:C128,0),"")</f>
        <v>0.20206932128906252</v>
      </c>
      <c r="X128" s="42"/>
      <c r="Y128" s="35"/>
    </row>
    <row r="129" spans="2:25" x14ac:dyDescent="0.2">
      <c r="B129" s="25">
        <v>93</v>
      </c>
      <c r="C129" s="36">
        <f>IF(B128&lt;'Умови та класичний графік'!$J$14,EDATE(C128,1),"")</f>
        <v>47027</v>
      </c>
      <c r="D129" s="36">
        <f>IF(B128&lt;'Умови та класичний графік'!$J$14,C128,"")</f>
        <v>46997</v>
      </c>
      <c r="E129" s="26">
        <f>IF(B128&lt;'Умови та класичний графік'!$J$14,C129-1,"")</f>
        <v>47026</v>
      </c>
      <c r="F129" s="37">
        <f>IF(B128&lt;'Умови та класичний графік'!$J$14,E129-D129+1,"")</f>
        <v>30</v>
      </c>
      <c r="G129" s="86">
        <f>IF(B128&lt;'Умови та класичний графік'!$J$14,J129+K129+L129,"")</f>
        <v>150639.26940639282</v>
      </c>
      <c r="H129" s="87"/>
      <c r="I129" s="32">
        <f>IF(B128&lt;'Умови та класичний графік'!$J$14,I128-J129,"")</f>
        <v>6125000.0000000065</v>
      </c>
      <c r="J129" s="32">
        <f>IF(B128&lt;'Умови та класичний графік'!$J$14,J128,"")</f>
        <v>41666.666666666664</v>
      </c>
      <c r="K129" s="32">
        <f>IF(B128&lt;'Умови та класичний графік'!$J$14,((I128*'Умови та класичний графік'!$J$22)/365)*F129,"")</f>
        <v>108972.60273972616</v>
      </c>
      <c r="L129" s="30">
        <f>IF(B128&lt;'Умови та класичний графік'!$J$14,SUM(M129:V129),"")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графік'!$J$14,XIRR($G$36:G129,$C$36:C129,0),"")</f>
        <v>0.20364466308593754</v>
      </c>
      <c r="X129" s="42"/>
      <c r="Y129" s="35"/>
    </row>
    <row r="130" spans="2:25" x14ac:dyDescent="0.2">
      <c r="B130" s="25">
        <v>94</v>
      </c>
      <c r="C130" s="36">
        <f>IF(B129&lt;'Умови та класичний графік'!$J$14,EDATE(C129,1),"")</f>
        <v>47058</v>
      </c>
      <c r="D130" s="36">
        <f>IF(B129&lt;'Умови та класичний графік'!$J$14,C129,"")</f>
        <v>47027</v>
      </c>
      <c r="E130" s="26">
        <f>IF(B129&lt;'Умови та класичний графік'!$J$14,C130-1,"")</f>
        <v>47057</v>
      </c>
      <c r="F130" s="37">
        <f>IF(B129&lt;'Умови та класичний графік'!$J$14,E130-D130+1,"")</f>
        <v>31</v>
      </c>
      <c r="G130" s="86">
        <f>IF(B129&lt;'Умови та класичний графік'!$J$14,J130+K130+L130,"")</f>
        <v>153510.84474885857</v>
      </c>
      <c r="H130" s="87"/>
      <c r="I130" s="32">
        <f>IF(B129&lt;'Умови та класичний графік'!$J$14,I129-J130,"")</f>
        <v>6083333.3333333395</v>
      </c>
      <c r="J130" s="32">
        <f>IF(B129&lt;'Умови та класичний графік'!$J$14,J129,"")</f>
        <v>41666.666666666664</v>
      </c>
      <c r="K130" s="32">
        <f>IF(B129&lt;'Умови та класичний графік'!$J$14,((I129*'Умови та класичний графік'!$J$22)/365)*F130,"")</f>
        <v>111844.17808219189</v>
      </c>
      <c r="L130" s="30">
        <f>IF(B129&lt;'Умови та класичний графік'!$J$14,SUM(M130:V130),"")</f>
        <v>0</v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>
        <f>IF(B129&lt;'Умови та класичний графік'!$J$14,XIRR($G$36:G130,$C$36:C130,0),"")</f>
        <v>0.2052039990234375</v>
      </c>
      <c r="X130" s="42"/>
      <c r="Y130" s="35"/>
    </row>
    <row r="131" spans="2:25" x14ac:dyDescent="0.2">
      <c r="B131" s="25">
        <v>95</v>
      </c>
      <c r="C131" s="36">
        <f>IF(B130&lt;'Умови та класичний графік'!$J$14,EDATE(C130,1),"")</f>
        <v>47088</v>
      </c>
      <c r="D131" s="36">
        <f>IF(B130&lt;'Умови та класичний графік'!$J$14,C130,"")</f>
        <v>47058</v>
      </c>
      <c r="E131" s="26">
        <f>IF(B130&lt;'Умови та класичний графік'!$J$14,C131-1,"")</f>
        <v>47087</v>
      </c>
      <c r="F131" s="37">
        <f>IF(B130&lt;'Умови та класичний графік'!$J$14,E131-D131+1,"")</f>
        <v>30</v>
      </c>
      <c r="G131" s="86">
        <f>IF(B130&lt;'Умови та класичний графік'!$J$14,J131+K131+L131,"")</f>
        <v>149166.66666666677</v>
      </c>
      <c r="H131" s="87"/>
      <c r="I131" s="32">
        <f>IF(B130&lt;'Умови та класичний графік'!$J$14,I130-J131,"")</f>
        <v>6041666.6666666726</v>
      </c>
      <c r="J131" s="32">
        <f>IF(B130&lt;'Умови та класичний графік'!$J$14,J130,"")</f>
        <v>41666.666666666664</v>
      </c>
      <c r="K131" s="32">
        <f>IF(B130&lt;'Умови та класичний графік'!$J$14,((I130*'Умови та класичний графік'!$J$22)/365)*F131,"")</f>
        <v>107500.0000000001</v>
      </c>
      <c r="L131" s="30">
        <f>IF(B130&lt;'Умови та класичний графік'!$J$14,SUM(M131:V131),"")</f>
        <v>0</v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>
        <f>IF(B130&lt;'Умови та класичний графік'!$J$14,XIRR($G$36:G131,$C$36:C131,0),"")</f>
        <v>0.20667674316406248</v>
      </c>
      <c r="X131" s="42"/>
      <c r="Y131" s="35"/>
    </row>
    <row r="132" spans="2:25" x14ac:dyDescent="0.2">
      <c r="B132" s="25">
        <v>96</v>
      </c>
      <c r="C132" s="36">
        <f>IF(B131&lt;'Умови та класичний графік'!$J$14,EDATE(C131,1),"")</f>
        <v>47119</v>
      </c>
      <c r="D132" s="36">
        <f>IF(B131&lt;'Умови та класичний графік'!$J$14,C131,"")</f>
        <v>47088</v>
      </c>
      <c r="E132" s="26">
        <f>IF(B131&lt;'Умови та класичний графік'!$J$14,C132-1,"")</f>
        <v>47118</v>
      </c>
      <c r="F132" s="37">
        <f>IF(B131&lt;'Умови та класичний графік'!$J$14,E132-D132+1,"")</f>
        <v>31</v>
      </c>
      <c r="G132" s="86">
        <f>IF(B131&lt;'Умови та класичний графік'!$J$14,J132+K132+L132,"")</f>
        <v>210489.1552511417</v>
      </c>
      <c r="H132" s="87"/>
      <c r="I132" s="32">
        <f>IF(B131&lt;'Умови та класичний графік'!$J$14,I131-J132,"")</f>
        <v>6000000.0000000056</v>
      </c>
      <c r="J132" s="32">
        <f>IF(B131&lt;'Умови та класичний графік'!$J$14,J131,"")</f>
        <v>41666.666666666664</v>
      </c>
      <c r="K132" s="32">
        <f>IF(B131&lt;'Умови та класичний графік'!$J$14,((I131*'Умови та класичний графік'!$J$22)/365)*F132,"")</f>
        <v>110322.488584475</v>
      </c>
      <c r="L132" s="30">
        <f>IF(B131&lt;'Умови та класичний графік'!$J$14,SUM(M132:V132),"")</f>
        <v>58500.000000000015</v>
      </c>
      <c r="M132" s="38"/>
      <c r="N132" s="39"/>
      <c r="O132" s="39"/>
      <c r="P132" s="32"/>
      <c r="Q132" s="40"/>
      <c r="R132" s="40"/>
      <c r="S132" s="41"/>
      <c r="T132" s="41"/>
      <c r="U132" s="33">
        <f>IF(B131&lt;'Умови та класичний графік'!$J$14,('Умови та класичний графік'!$J$15*$N$20)+(I132*$N$21),"")</f>
        <v>58500.000000000015</v>
      </c>
      <c r="V132" s="41"/>
      <c r="W132" s="43">
        <f>IF(B131&lt;'Умови та класичний графік'!$J$14,XIRR($G$36:G132,$C$36:C132,0),"")</f>
        <v>0.20869109863281254</v>
      </c>
      <c r="X132" s="42"/>
      <c r="Y132" s="35"/>
    </row>
    <row r="133" spans="2:25" x14ac:dyDescent="0.2">
      <c r="B133" s="25">
        <v>97</v>
      </c>
      <c r="C133" s="36">
        <f>IF(B132&lt;'Умови та класичний графік'!$J$14,EDATE(C132,1),"")</f>
        <v>47150</v>
      </c>
      <c r="D133" s="36">
        <f>IF(B132&lt;'Умови та класичний графік'!$J$14,C132,"")</f>
        <v>47119</v>
      </c>
      <c r="E133" s="26">
        <f>IF(B132&lt;'Умови та класичний графік'!$J$14,C133-1,"")</f>
        <v>47149</v>
      </c>
      <c r="F133" s="37">
        <f>IF(B132&lt;'Умови та класичний графік'!$J$14,E133-D133+1,"")</f>
        <v>31</v>
      </c>
      <c r="G133" s="86">
        <f>IF(B132&lt;'Умови та класичний графік'!$J$14,J133+K133+L133,"")</f>
        <v>151228.31050228322</v>
      </c>
      <c r="H133" s="87"/>
      <c r="I133" s="32">
        <f>IF(B132&lt;'Умови та класичний графік'!$J$14,I132-J133,"")</f>
        <v>5958333.3333333386</v>
      </c>
      <c r="J133" s="32">
        <f>IF(B132&lt;'Умови та класичний графік'!$J$14,J132,"")</f>
        <v>41666.666666666664</v>
      </c>
      <c r="K133" s="32">
        <f>IF(B132&lt;'Умови та класичний графік'!$J$14,((I132*'Умови та класичний графік'!$J$22)/365)*F133,"")</f>
        <v>109561.64383561655</v>
      </c>
      <c r="L133" s="30">
        <f>IF(B132&lt;'Умови та класичний графік'!$J$14,SUM(M133:V133),"")</f>
        <v>0</v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>
        <f>IF(B132&lt;'Умови та класичний графік'!$J$14,XIRR($G$36:G133,$C$36:C133,0),"")</f>
        <v>0.21009394042968754</v>
      </c>
      <c r="X133" s="42"/>
      <c r="Y133" s="35"/>
    </row>
    <row r="134" spans="2:25" x14ac:dyDescent="0.2">
      <c r="B134" s="25">
        <v>98</v>
      </c>
      <c r="C134" s="36">
        <f>IF(B133&lt;'Умови та класичний графік'!$J$14,EDATE(C133,1),"")</f>
        <v>47178</v>
      </c>
      <c r="D134" s="36">
        <f>IF(B133&lt;'Умови та класичний графік'!$J$14,C133,"")</f>
        <v>47150</v>
      </c>
      <c r="E134" s="26">
        <f>IF(B133&lt;'Умови та класичний графік'!$J$14,C134-1,"")</f>
        <v>47177</v>
      </c>
      <c r="F134" s="37">
        <f>IF(B133&lt;'Умови та класичний графік'!$J$14,E134-D134+1,"")</f>
        <v>28</v>
      </c>
      <c r="G134" s="86">
        <f>IF(B133&lt;'Умови та класичний графік'!$J$14,J134+K134+L134,"")</f>
        <v>139938.35616438364</v>
      </c>
      <c r="H134" s="87"/>
      <c r="I134" s="32">
        <f>IF(B133&lt;'Умови та класичний графік'!$J$14,I133-J134,"")</f>
        <v>5916666.6666666716</v>
      </c>
      <c r="J134" s="32">
        <f>IF(B133&lt;'Умови та класичний графік'!$J$14,J133,"")</f>
        <v>41666.666666666664</v>
      </c>
      <c r="K134" s="32">
        <f>IF(B133&lt;'Умови та класичний графік'!$J$14,((I133*'Умови та класичний графік'!$J$22)/365)*F134,"")</f>
        <v>98271.689497716972</v>
      </c>
      <c r="L134" s="30">
        <f>IF(B133&lt;'Умови та класичний графік'!$J$14,SUM(M134:V134),"")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графік'!$J$14,XIRR($G$36:G134,$C$36:C134,0),"")</f>
        <v>0.21135808105468756</v>
      </c>
      <c r="X134" s="42"/>
      <c r="Y134" s="35"/>
    </row>
    <row r="135" spans="2:25" x14ac:dyDescent="0.2">
      <c r="B135" s="25">
        <v>99</v>
      </c>
      <c r="C135" s="36">
        <f>IF(B134&lt;'Умови та класичний графік'!$J$14,EDATE(C134,1),"")</f>
        <v>47209</v>
      </c>
      <c r="D135" s="36">
        <f>IF(B134&lt;'Умови та класичний графік'!$J$14,C134,"")</f>
        <v>47178</v>
      </c>
      <c r="E135" s="26">
        <f>IF(B134&lt;'Умови та класичний графік'!$J$14,C135-1,"")</f>
        <v>47208</v>
      </c>
      <c r="F135" s="37">
        <f>IF(B134&lt;'Умови та класичний графік'!$J$14,E135-D135+1,"")</f>
        <v>31</v>
      </c>
      <c r="G135" s="86">
        <f>IF(B134&lt;'Умови та класичний графік'!$J$14,J135+K135+L135,"")</f>
        <v>149706.62100456632</v>
      </c>
      <c r="H135" s="87"/>
      <c r="I135" s="32">
        <f>IF(B134&lt;'Умови та класичний графік'!$J$14,I134-J135,"")</f>
        <v>5875000.0000000047</v>
      </c>
      <c r="J135" s="32">
        <f>IF(B134&lt;'Умови та класичний графік'!$J$14,J134,"")</f>
        <v>41666.666666666664</v>
      </c>
      <c r="K135" s="32">
        <f>IF(B134&lt;'Умови та класичний графік'!$J$14,((I134*'Умови та класичний графік'!$J$22)/365)*F135,"")</f>
        <v>108039.95433789965</v>
      </c>
      <c r="L135" s="30">
        <f>IF(B134&lt;'Умови та класичний графік'!$J$14,SUM(M135:V135),"")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графік'!$J$14,XIRR($G$36:G135,$C$36:C135,0),"")</f>
        <v>0.21267321777343756</v>
      </c>
      <c r="X135" s="42"/>
      <c r="Y135" s="35"/>
    </row>
    <row r="136" spans="2:25" x14ac:dyDescent="0.2">
      <c r="B136" s="25">
        <v>100</v>
      </c>
      <c r="C136" s="36">
        <f>IF(B135&lt;'Умови та класичний графік'!$J$14,EDATE(C135,1),"")</f>
        <v>47239</v>
      </c>
      <c r="D136" s="36">
        <f>IF(B135&lt;'Умови та класичний графік'!$J$14,C135,"")</f>
        <v>47209</v>
      </c>
      <c r="E136" s="26">
        <f>IF(B135&lt;'Умови та класичний графік'!$J$14,C136-1,"")</f>
        <v>47238</v>
      </c>
      <c r="F136" s="37">
        <f>IF(B135&lt;'Умови та класичний графік'!$J$14,E136-D136+1,"")</f>
        <v>30</v>
      </c>
      <c r="G136" s="86">
        <f>IF(B135&lt;'Умови та класичний графік'!$J$14,J136+K136+L136,"")</f>
        <v>145485.15981735167</v>
      </c>
      <c r="H136" s="87"/>
      <c r="I136" s="32">
        <f>IF(B135&lt;'Умови та класичний графік'!$J$14,I135-J136,"")</f>
        <v>5833333.3333333377</v>
      </c>
      <c r="J136" s="32">
        <f>IF(B135&lt;'Умови та класичний графік'!$J$14,J135,"")</f>
        <v>41666.666666666664</v>
      </c>
      <c r="K136" s="32">
        <f>IF(B135&lt;'Умови та класичний графік'!$J$14,((I135*'Умови та класичний графік'!$J$22)/365)*F136,"")</f>
        <v>103818.493150685</v>
      </c>
      <c r="L136" s="30">
        <f>IF(B135&lt;'Умови та класичний графік'!$J$14,SUM(M136:V136),"")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графік'!$J$14,XIRR($G$36:G136,$C$36:C136,0),"")</f>
        <v>0.21391657714843754</v>
      </c>
      <c r="X136" s="42"/>
      <c r="Y136" s="35"/>
    </row>
    <row r="137" spans="2:25" x14ac:dyDescent="0.2">
      <c r="B137" s="25">
        <v>101</v>
      </c>
      <c r="C137" s="36">
        <f>IF(B136&lt;'Умови та класичний графік'!$J$14,EDATE(C136,1),"")</f>
        <v>47270</v>
      </c>
      <c r="D137" s="36">
        <f>IF(B136&lt;'Умови та класичний графік'!$J$14,C136,"")</f>
        <v>47239</v>
      </c>
      <c r="E137" s="26">
        <f>IF(B136&lt;'Умови та класичний графік'!$J$14,C137-1,"")</f>
        <v>47269</v>
      </c>
      <c r="F137" s="37">
        <f>IF(B136&lt;'Умови та класичний графік'!$J$14,E137-D137+1,"")</f>
        <v>31</v>
      </c>
      <c r="G137" s="86">
        <f>IF(B136&lt;'Умови та класичний графік'!$J$14,J137+K137+L137,"")</f>
        <v>148184.93150684939</v>
      </c>
      <c r="H137" s="87"/>
      <c r="I137" s="32">
        <f>IF(B136&lt;'Умови та класичний графік'!$J$14,I136-J137,"")</f>
        <v>5791666.6666666707</v>
      </c>
      <c r="J137" s="32">
        <f>IF(B136&lt;'Умови та класичний графік'!$J$14,J136,"")</f>
        <v>41666.666666666664</v>
      </c>
      <c r="K137" s="32">
        <f>IF(B136&lt;'Умови та класичний графік'!$J$14,((I136*'Умови та класичний графік'!$J$22)/365)*F137,"")</f>
        <v>106518.26484018273</v>
      </c>
      <c r="L137" s="30">
        <f>IF(B136&lt;'Умови та класичний графік'!$J$14,SUM(M137:V137),"")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графік'!$J$14,XIRR($G$36:G137,$C$36:C137,0),"")</f>
        <v>0.21514816894531252</v>
      </c>
      <c r="X137" s="42"/>
      <c r="Y137" s="35"/>
    </row>
    <row r="138" spans="2:25" x14ac:dyDescent="0.2">
      <c r="B138" s="25">
        <v>102</v>
      </c>
      <c r="C138" s="36">
        <f>IF(B137&lt;'Умови та класичний графік'!$J$14,EDATE(C137,1),"")</f>
        <v>47300</v>
      </c>
      <c r="D138" s="36">
        <f>IF(B137&lt;'Умови та класичний графік'!$J$14,C137,"")</f>
        <v>47270</v>
      </c>
      <c r="E138" s="26">
        <f>IF(B137&lt;'Умови та класичний графік'!$J$14,C138-1,"")</f>
        <v>47299</v>
      </c>
      <c r="F138" s="37">
        <f>IF(B137&lt;'Умови та класичний графік'!$J$14,E138-D138+1,"")</f>
        <v>30</v>
      </c>
      <c r="G138" s="86">
        <f>IF(B137&lt;'Умови та класичний графік'!$J$14,J138+K138+L138,"")</f>
        <v>144012.55707762565</v>
      </c>
      <c r="H138" s="87"/>
      <c r="I138" s="32">
        <f>IF(B137&lt;'Умови та класичний графік'!$J$14,I137-J138,"")</f>
        <v>5750000.0000000037</v>
      </c>
      <c r="J138" s="32">
        <f>IF(B137&lt;'Умови та класичний графік'!$J$14,J137,"")</f>
        <v>41666.666666666664</v>
      </c>
      <c r="K138" s="32">
        <f>IF(B137&lt;'Умови та класичний графік'!$J$14,((I137*'Умови та класичний графік'!$J$22)/365)*F138,"")</f>
        <v>102345.89041095898</v>
      </c>
      <c r="L138" s="30">
        <f>IF(B137&lt;'Умови та класичний графік'!$J$14,SUM(M138:V138),"")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графік'!$J$14,XIRR($G$36:G138,$C$36:C138,0),"")</f>
        <v>0.21631296386718751</v>
      </c>
      <c r="X138" s="42"/>
      <c r="Y138" s="35"/>
    </row>
    <row r="139" spans="2:25" x14ac:dyDescent="0.2">
      <c r="B139" s="25">
        <v>103</v>
      </c>
      <c r="C139" s="36">
        <f>IF(B138&lt;'Умови та класичний графік'!$J$14,EDATE(C138,1),"")</f>
        <v>47331</v>
      </c>
      <c r="D139" s="36">
        <f>IF(B138&lt;'Умови та класичний графік'!$J$14,C138,"")</f>
        <v>47300</v>
      </c>
      <c r="E139" s="26">
        <f>IF(B138&lt;'Умови та класичний графік'!$J$14,C139-1,"")</f>
        <v>47330</v>
      </c>
      <c r="F139" s="37">
        <f>IF(B138&lt;'Умови та класичний графік'!$J$14,E139-D139+1,"")</f>
        <v>31</v>
      </c>
      <c r="G139" s="86">
        <f>IF(B138&lt;'Умови та класичний графік'!$J$14,J139+K139+L139,"")</f>
        <v>146663.24200913249</v>
      </c>
      <c r="H139" s="87"/>
      <c r="I139" s="32">
        <f>IF(B138&lt;'Умови та класичний графік'!$J$14,I138-J139,"")</f>
        <v>5708333.3333333367</v>
      </c>
      <c r="J139" s="32">
        <f>IF(B138&lt;'Умови та класичний графік'!$J$14,J138,"")</f>
        <v>41666.666666666664</v>
      </c>
      <c r="K139" s="32">
        <f>IF(B138&lt;'Умови та класичний графік'!$J$14,((I138*'Умови та класичний графік'!$J$22)/365)*F139,"")</f>
        <v>104996.57534246582</v>
      </c>
      <c r="L139" s="30">
        <f>IF(B138&lt;'Умови та класичний графік'!$J$14,SUM(M139:V139),"")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графік'!$J$14,XIRR($G$36:G139,$C$36:C139,0),"")</f>
        <v>0.2174669189453125</v>
      </c>
      <c r="X139" s="42"/>
      <c r="Y139" s="35"/>
    </row>
    <row r="140" spans="2:25" x14ac:dyDescent="0.2">
      <c r="B140" s="25">
        <v>104</v>
      </c>
      <c r="C140" s="36">
        <f>IF(B139&lt;'Умови та класичний графік'!$J$14,EDATE(C139,1),"")</f>
        <v>47362</v>
      </c>
      <c r="D140" s="36">
        <f>IF(B139&lt;'Умови та класичний графік'!$J$14,C139,"")</f>
        <v>47331</v>
      </c>
      <c r="E140" s="26">
        <f>IF(B139&lt;'Умови та класичний графік'!$J$14,C140-1,"")</f>
        <v>47361</v>
      </c>
      <c r="F140" s="37">
        <f>IF(B139&lt;'Умови та класичний графік'!$J$14,E140-D140+1,"")</f>
        <v>31</v>
      </c>
      <c r="G140" s="86">
        <f>IF(B139&lt;'Умови та класичний графік'!$J$14,J140+K140+L140,"")</f>
        <v>145902.39726027404</v>
      </c>
      <c r="H140" s="87"/>
      <c r="I140" s="32">
        <f>IF(B139&lt;'Умови та класичний графік'!$J$14,I139-J140,"")</f>
        <v>5666666.6666666698</v>
      </c>
      <c r="J140" s="32">
        <f>IF(B139&lt;'Умови та класичний графік'!$J$14,J139,"")</f>
        <v>41666.666666666664</v>
      </c>
      <c r="K140" s="32">
        <f>IF(B139&lt;'Умови та класичний графік'!$J$14,((I139*'Умови та класичний графік'!$J$22)/365)*F140,"")</f>
        <v>104235.73059360737</v>
      </c>
      <c r="L140" s="30">
        <f>IF(B139&lt;'Умови та класичний графік'!$J$14,SUM(M140:V140),"")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графік'!$J$14,XIRR($G$36:G140,$C$36:C140,0),"")</f>
        <v>0.21858369628906249</v>
      </c>
      <c r="X140" s="42"/>
      <c r="Y140" s="35"/>
    </row>
    <row r="141" spans="2:25" x14ac:dyDescent="0.2">
      <c r="B141" s="25">
        <v>105</v>
      </c>
      <c r="C141" s="36">
        <f>IF(B140&lt;'Умови та класичний графік'!$J$14,EDATE(C140,1),"")</f>
        <v>47392</v>
      </c>
      <c r="D141" s="36">
        <f>IF(B140&lt;'Умови та класичний графік'!$J$14,C140,"")</f>
        <v>47362</v>
      </c>
      <c r="E141" s="26">
        <f>IF(B140&lt;'Умови та класичний графік'!$J$14,C141-1,"")</f>
        <v>47391</v>
      </c>
      <c r="F141" s="37">
        <f>IF(B140&lt;'Умови та класичний графік'!$J$14,E141-D141+1,"")</f>
        <v>30</v>
      </c>
      <c r="G141" s="86">
        <f>IF(B140&lt;'Умови та класичний графік'!$J$14,J141+K141+L141,"")</f>
        <v>141803.65296803659</v>
      </c>
      <c r="H141" s="87"/>
      <c r="I141" s="32">
        <f>IF(B140&lt;'Умови та класичний графік'!$J$14,I140-J141,"")</f>
        <v>5625000.0000000028</v>
      </c>
      <c r="J141" s="32">
        <f>IF(B140&lt;'Умови та класичний графік'!$J$14,J140,"")</f>
        <v>41666.666666666664</v>
      </c>
      <c r="K141" s="32">
        <f>IF(B140&lt;'Умови та класичний графік'!$J$14,((I140*'Умови та класичний графік'!$J$22)/365)*F141,"")</f>
        <v>100136.98630136992</v>
      </c>
      <c r="L141" s="30">
        <f>IF(B140&lt;'Умови та класичний графік'!$J$14,SUM(M141:V141),"")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графік'!$J$14,XIRR($G$36:G141,$C$36:C141,0),"")</f>
        <v>0.21964045410156252</v>
      </c>
      <c r="X141" s="42"/>
      <c r="Y141" s="35"/>
    </row>
    <row r="142" spans="2:25" x14ac:dyDescent="0.2">
      <c r="B142" s="25">
        <v>106</v>
      </c>
      <c r="C142" s="36">
        <f>IF(B141&lt;'Умови та класичний графік'!$J$14,EDATE(C141,1),"")</f>
        <v>47423</v>
      </c>
      <c r="D142" s="36">
        <f>IF(B141&lt;'Умови та класичний графік'!$J$14,C141,"")</f>
        <v>47392</v>
      </c>
      <c r="E142" s="26">
        <f>IF(B141&lt;'Умови та класичний графік'!$J$14,C142-1,"")</f>
        <v>47422</v>
      </c>
      <c r="F142" s="37">
        <f>IF(B141&lt;'Умови та класичний графік'!$J$14,E142-D142+1,"")</f>
        <v>31</v>
      </c>
      <c r="G142" s="86">
        <f>IF(B141&lt;'Умови та класичний графік'!$J$14,J142+K142+L142,"")</f>
        <v>144380.70776255711</v>
      </c>
      <c r="H142" s="87"/>
      <c r="I142" s="32">
        <f>IF(B141&lt;'Умови та класичний графік'!$J$14,I141-J142,"")</f>
        <v>5583333.3333333358</v>
      </c>
      <c r="J142" s="32">
        <f>IF(B141&lt;'Умови та класичний графік'!$J$14,J141,"")</f>
        <v>41666.666666666664</v>
      </c>
      <c r="K142" s="32">
        <f>IF(B141&lt;'Умови та класичний графік'!$J$14,((I141*'Умови та класичний графік'!$J$22)/365)*F142,"")</f>
        <v>102714.04109589045</v>
      </c>
      <c r="L142" s="30">
        <f>IF(B141&lt;'Умови та класичний графік'!$J$14,SUM(M142:V142),"")</f>
        <v>0</v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>
        <f>IF(B141&lt;'Умови та класичний графік'!$J$14,XIRR($G$36:G142,$C$36:C142,0),"")</f>
        <v>0.22068761230468753</v>
      </c>
      <c r="X142" s="42"/>
      <c r="Y142" s="35"/>
    </row>
    <row r="143" spans="2:25" x14ac:dyDescent="0.2">
      <c r="B143" s="25">
        <v>107</v>
      </c>
      <c r="C143" s="36">
        <f>IF(B142&lt;'Умови та класичний графік'!$J$14,EDATE(C142,1),"")</f>
        <v>47453</v>
      </c>
      <c r="D143" s="36">
        <f>IF(B142&lt;'Умови та класичний графік'!$J$14,C142,"")</f>
        <v>47423</v>
      </c>
      <c r="E143" s="26">
        <f>IF(B142&lt;'Умови та класичний графік'!$J$14,C143-1,"")</f>
        <v>47452</v>
      </c>
      <c r="F143" s="37">
        <f>IF(B142&lt;'Умови та класичний графік'!$J$14,E143-D143+1,"")</f>
        <v>30</v>
      </c>
      <c r="G143" s="86">
        <f>IF(B142&lt;'Умови та класичний графік'!$J$14,J143+K143+L143,"")</f>
        <v>140331.05022831055</v>
      </c>
      <c r="H143" s="87"/>
      <c r="I143" s="32">
        <f>IF(B142&lt;'Умови та класичний графік'!$J$14,I142-J143,"")</f>
        <v>5541666.6666666688</v>
      </c>
      <c r="J143" s="32">
        <f>IF(B142&lt;'Умови та класичний графік'!$J$14,J142,"")</f>
        <v>41666.666666666664</v>
      </c>
      <c r="K143" s="32">
        <f>IF(B142&lt;'Умови та класичний графік'!$J$14,((I142*'Умови та класичний графік'!$J$22)/365)*F143,"")</f>
        <v>98664.383561643874</v>
      </c>
      <c r="L143" s="30">
        <f>IF(B142&lt;'Умови та класичний графік'!$J$14,SUM(M143:V143),"")</f>
        <v>0</v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>
        <f>IF(B142&lt;'Умови та класичний графік'!$J$14,XIRR($G$36:G143,$C$36:C143,0),"")</f>
        <v>0.22167883300781255</v>
      </c>
      <c r="X143" s="42"/>
      <c r="Y143" s="35"/>
    </row>
    <row r="144" spans="2:25" x14ac:dyDescent="0.2">
      <c r="B144" s="25">
        <v>108</v>
      </c>
      <c r="C144" s="36">
        <f>IF(B143&lt;'Умови та класичний графік'!$J$14,EDATE(C143,1),"")</f>
        <v>47484</v>
      </c>
      <c r="D144" s="36">
        <f>IF(B143&lt;'Умови та класичний графік'!$J$14,C143,"")</f>
        <v>47453</v>
      </c>
      <c r="E144" s="26">
        <f>IF(B143&lt;'Умови та класичний графік'!$J$14,C144-1,"")</f>
        <v>47483</v>
      </c>
      <c r="F144" s="37">
        <f>IF(B143&lt;'Умови та класичний графік'!$J$14,E144-D144+1,"")</f>
        <v>31</v>
      </c>
      <c r="G144" s="86">
        <f>IF(B143&lt;'Умови та класичний графік'!$J$14,J144+K144+L144,"")</f>
        <v>199859.01826484021</v>
      </c>
      <c r="H144" s="87"/>
      <c r="I144" s="32">
        <f>IF(B143&lt;'Умови та класичний графік'!$J$14,I143-J144,"")</f>
        <v>5500000.0000000019</v>
      </c>
      <c r="J144" s="32">
        <f>IF(B143&lt;'Умови та класичний графік'!$J$14,J143,"")</f>
        <v>41666.666666666664</v>
      </c>
      <c r="K144" s="32">
        <f>IF(B143&lt;'Умови та класичний графік'!$J$14,((I143*'Умови та класичний графік'!$J$22)/365)*F144,"")</f>
        <v>101192.35159817355</v>
      </c>
      <c r="L144" s="30">
        <f>IF(B143&lt;'Умови та класичний графік'!$J$14,SUM(M144:V144),"")</f>
        <v>57000.000000000007</v>
      </c>
      <c r="M144" s="38"/>
      <c r="N144" s="39"/>
      <c r="O144" s="39"/>
      <c r="P144" s="32"/>
      <c r="Q144" s="40"/>
      <c r="R144" s="40"/>
      <c r="S144" s="41"/>
      <c r="T144" s="41"/>
      <c r="U144" s="33">
        <f>IF(B143&lt;'Умови та класичний графік'!$J$14,('Умови та класичний графік'!$J$15*$N$20)+(I144*$N$21),"")</f>
        <v>57000.000000000007</v>
      </c>
      <c r="V144" s="41"/>
      <c r="W144" s="43">
        <f>IF(B143&lt;'Умови та класичний графік'!$J$14,XIRR($G$36:G144,$C$36:C144,0),"")</f>
        <v>0.22305043457031248</v>
      </c>
      <c r="X144" s="42"/>
      <c r="Y144" s="35"/>
    </row>
    <row r="145" spans="2:25" x14ac:dyDescent="0.2">
      <c r="B145" s="25">
        <v>109</v>
      </c>
      <c r="C145" s="36">
        <f>IF(B144&lt;'Умови та класичний графік'!$J$14,EDATE(C144,1),"")</f>
        <v>47515</v>
      </c>
      <c r="D145" s="36">
        <f>IF(B144&lt;'Умови та класичний графік'!$J$14,C144,"")</f>
        <v>47484</v>
      </c>
      <c r="E145" s="26">
        <f>IF(B144&lt;'Умови та класичний графік'!$J$14,C145-1,"")</f>
        <v>47514</v>
      </c>
      <c r="F145" s="37">
        <f>IF(B144&lt;'Умови та класичний графік'!$J$14,E145-D145+1,"")</f>
        <v>31</v>
      </c>
      <c r="G145" s="86">
        <f>IF(B144&lt;'Умови та класичний графік'!$J$14,J145+K145+L145,"")</f>
        <v>142098.17351598176</v>
      </c>
      <c r="H145" s="87"/>
      <c r="I145" s="32">
        <f>IF(B144&lt;'Умови та класичний графік'!$J$14,I144-J145,"")</f>
        <v>5458333.3333333349</v>
      </c>
      <c r="J145" s="32">
        <f>IF(B144&lt;'Умови та класичний графік'!$J$14,J144,"")</f>
        <v>41666.666666666664</v>
      </c>
      <c r="K145" s="32">
        <f>IF(B144&lt;'Умови та класичний графік'!$J$14,((I144*'Умови та класичний графік'!$J$22)/365)*F145,"")</f>
        <v>100431.5068493151</v>
      </c>
      <c r="L145" s="30">
        <f>IF(B144&lt;'Умови та класичний графік'!$J$14,SUM(M145:V145),"")</f>
        <v>0</v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>
        <f>IF(B144&lt;'Умови та класичний графік'!$J$14,XIRR($G$36:G145,$C$36:C145,0),"")</f>
        <v>0.22399798339843752</v>
      </c>
      <c r="X145" s="42"/>
      <c r="Y145" s="35"/>
    </row>
    <row r="146" spans="2:25" x14ac:dyDescent="0.2">
      <c r="B146" s="25">
        <v>110</v>
      </c>
      <c r="C146" s="36">
        <f>IF(B145&lt;'Умови та класичний графік'!$J$14,EDATE(C145,1),"")</f>
        <v>47543</v>
      </c>
      <c r="D146" s="36">
        <f>IF(B145&lt;'Умови та класичний графік'!$J$14,C145,"")</f>
        <v>47515</v>
      </c>
      <c r="E146" s="26">
        <f>IF(B145&lt;'Умови та класичний графік'!$J$14,C146-1,"")</f>
        <v>47542</v>
      </c>
      <c r="F146" s="37">
        <f>IF(B145&lt;'Умови та класичний графік'!$J$14,E146-D146+1,"")</f>
        <v>28</v>
      </c>
      <c r="G146" s="86">
        <f>IF(B145&lt;'Умови та класичний графік'!$J$14,J146+K146+L146,"")</f>
        <v>131691.78082191784</v>
      </c>
      <c r="H146" s="87"/>
      <c r="I146" s="32">
        <f>IF(B145&lt;'Умови та класичний графік'!$J$14,I145-J146,"")</f>
        <v>5416666.6666666679</v>
      </c>
      <c r="J146" s="32">
        <f>IF(B145&lt;'Умови та класичний графік'!$J$14,J145,"")</f>
        <v>41666.666666666664</v>
      </c>
      <c r="K146" s="32">
        <f>IF(B145&lt;'Умови та класичний графік'!$J$14,((I145*'Умови та класичний графік'!$J$22)/365)*F146,"")</f>
        <v>90025.114155251169</v>
      </c>
      <c r="L146" s="30">
        <f>IF(B145&lt;'Умови та класичний графік'!$J$14,SUM(M146:V146),"")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графік'!$J$14,XIRR($G$36:G146,$C$36:C146,0),"")</f>
        <v>0.22485472167968756</v>
      </c>
      <c r="X146" s="42"/>
      <c r="Y146" s="35"/>
    </row>
    <row r="147" spans="2:25" x14ac:dyDescent="0.2">
      <c r="B147" s="25">
        <v>111</v>
      </c>
      <c r="C147" s="36">
        <f>IF(B146&lt;'Умови та класичний графік'!$J$14,EDATE(C146,1),"")</f>
        <v>47574</v>
      </c>
      <c r="D147" s="36">
        <f>IF(B146&lt;'Умови та класичний графік'!$J$14,C146,"")</f>
        <v>47543</v>
      </c>
      <c r="E147" s="26">
        <f>IF(B146&lt;'Умови та класичний графік'!$J$14,C147-1,"")</f>
        <v>47573</v>
      </c>
      <c r="F147" s="37">
        <f>IF(B146&lt;'Умови та класичний графік'!$J$14,E147-D147+1,"")</f>
        <v>31</v>
      </c>
      <c r="G147" s="86">
        <f>IF(B146&lt;'Умови та класичний графік'!$J$14,J147+K147+L147,"")</f>
        <v>140576.48401826483</v>
      </c>
      <c r="H147" s="87"/>
      <c r="I147" s="32">
        <f>IF(B146&lt;'Умови та класичний графік'!$J$14,I146-J147,"")</f>
        <v>5375000.0000000009</v>
      </c>
      <c r="J147" s="32">
        <f>IF(B146&lt;'Умови та класичний графік'!$J$14,J146,"")</f>
        <v>41666.666666666664</v>
      </c>
      <c r="K147" s="32">
        <f>IF(B146&lt;'Умови та класичний графік'!$J$14,((I146*'Умови та класичний графік'!$J$22)/365)*F147,"")</f>
        <v>98909.817351598176</v>
      </c>
      <c r="L147" s="30">
        <f>IF(B146&lt;'Умови та класичний графік'!$J$14,SUM(M147:V147),"")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графік'!$J$14,XIRR($G$36:G147,$C$36:C147,0),"")</f>
        <v>0.22574560058593757</v>
      </c>
      <c r="X147" s="42"/>
      <c r="Y147" s="35"/>
    </row>
    <row r="148" spans="2:25" x14ac:dyDescent="0.2">
      <c r="B148" s="25">
        <v>112</v>
      </c>
      <c r="C148" s="36">
        <f>IF(B147&lt;'Умови та класичний графік'!$J$14,EDATE(C147,1),"")</f>
        <v>47604</v>
      </c>
      <c r="D148" s="36">
        <f>IF(B147&lt;'Умови та класичний графік'!$J$14,C147,"")</f>
        <v>47574</v>
      </c>
      <c r="E148" s="26">
        <f>IF(B147&lt;'Умови та класичний графік'!$J$14,C148-1,"")</f>
        <v>47603</v>
      </c>
      <c r="F148" s="37">
        <f>IF(B147&lt;'Умови та класичний графік'!$J$14,E148-D148+1,"")</f>
        <v>30</v>
      </c>
      <c r="G148" s="86">
        <f>IF(B147&lt;'Умови та класичний графік'!$J$14,J148+K148+L148,"")</f>
        <v>136649.54337899544</v>
      </c>
      <c r="H148" s="87"/>
      <c r="I148" s="32">
        <f>IF(B147&lt;'Умови та класичний графік'!$J$14,I147-J148,"")</f>
        <v>5333333.333333334</v>
      </c>
      <c r="J148" s="32">
        <f>IF(B147&lt;'Умови та класичний графік'!$J$14,J147,"")</f>
        <v>41666.666666666664</v>
      </c>
      <c r="K148" s="32">
        <f>IF(B147&lt;'Умови та класичний графік'!$J$14,((I147*'Умови та класичний графік'!$J$22)/365)*F148,"")</f>
        <v>94982.876712328783</v>
      </c>
      <c r="L148" s="30">
        <f>IF(B147&lt;'Умови та класичний графік'!$J$14,SUM(M148:V148),"")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графік'!$J$14,XIRR($G$36:G148,$C$36:C148,0),"")</f>
        <v>0.22658957519531253</v>
      </c>
      <c r="X148" s="42"/>
      <c r="Y148" s="35"/>
    </row>
    <row r="149" spans="2:25" x14ac:dyDescent="0.2">
      <c r="B149" s="25">
        <v>113</v>
      </c>
      <c r="C149" s="36">
        <f>IF(B148&lt;'Умови та класичний графік'!$J$14,EDATE(C148,1),"")</f>
        <v>47635</v>
      </c>
      <c r="D149" s="36">
        <f>IF(B148&lt;'Умови та класичний графік'!$J$14,C148,"")</f>
        <v>47604</v>
      </c>
      <c r="E149" s="26">
        <f>IF(B148&lt;'Умови та класичний графік'!$J$14,C149-1,"")</f>
        <v>47634</v>
      </c>
      <c r="F149" s="37">
        <f>IF(B148&lt;'Умови та класичний графік'!$J$14,E149-D149+1,"")</f>
        <v>31</v>
      </c>
      <c r="G149" s="86">
        <f>IF(B148&lt;'Умови та класичний графік'!$J$14,J149+K149+L149,"")</f>
        <v>139054.79452054793</v>
      </c>
      <c r="H149" s="87"/>
      <c r="I149" s="32">
        <f>IF(B148&lt;'Умови та класичний графік'!$J$14,I148-J149,"")</f>
        <v>5291666.666666667</v>
      </c>
      <c r="J149" s="32">
        <f>IF(B148&lt;'Умови та класичний графік'!$J$14,J148,"")</f>
        <v>41666.666666666664</v>
      </c>
      <c r="K149" s="32">
        <f>IF(B148&lt;'Умови та класичний графік'!$J$14,((I148*'Умови та класичний графік'!$J$22)/365)*F149,"")</f>
        <v>97388.127853881277</v>
      </c>
      <c r="L149" s="30">
        <f>IF(B148&lt;'Умови та класичний графік'!$J$14,SUM(M149:V149),"")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графік'!$J$14,XIRR($G$36:G149,$C$36:C149,0),"")</f>
        <v>0.22742623535156253</v>
      </c>
      <c r="X149" s="42"/>
      <c r="Y149" s="35"/>
    </row>
    <row r="150" spans="2:25" x14ac:dyDescent="0.2">
      <c r="B150" s="25">
        <v>114</v>
      </c>
      <c r="C150" s="36">
        <f>IF(B149&lt;'Умови та класичний графік'!$J$14,EDATE(C149,1),"")</f>
        <v>47665</v>
      </c>
      <c r="D150" s="36">
        <f>IF(B149&lt;'Умови та класичний графік'!$J$14,C149,"")</f>
        <v>47635</v>
      </c>
      <c r="E150" s="26">
        <f>IF(B149&lt;'Умови та класичний графік'!$J$14,C150-1,"")</f>
        <v>47664</v>
      </c>
      <c r="F150" s="37">
        <f>IF(B149&lt;'Умови та класичний графік'!$J$14,E150-D150+1,"")</f>
        <v>30</v>
      </c>
      <c r="G150" s="86">
        <f>IF(B149&lt;'Умови та класичний графік'!$J$14,J150+K150+L150,"")</f>
        <v>135176.94063926942</v>
      </c>
      <c r="H150" s="87"/>
      <c r="I150" s="32">
        <f>IF(B149&lt;'Умови та класичний графік'!$J$14,I149-J150,"")</f>
        <v>5250000</v>
      </c>
      <c r="J150" s="32">
        <f>IF(B149&lt;'Умови та класичний графік'!$J$14,J149,"")</f>
        <v>41666.666666666664</v>
      </c>
      <c r="K150" s="32">
        <f>IF(B149&lt;'Умови та класичний графік'!$J$14,((I149*'Умови та класичний графік'!$J$22)/365)*F150,"")</f>
        <v>93510.27397260275</v>
      </c>
      <c r="L150" s="30">
        <f>IF(B149&lt;'Умови та класичний графік'!$J$14,SUM(M150:V150),"")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графік'!$J$14,XIRR($G$36:G150,$C$36:C150,0),"")</f>
        <v>0.22821908691406251</v>
      </c>
      <c r="X150" s="42"/>
      <c r="Y150" s="35"/>
    </row>
    <row r="151" spans="2:25" x14ac:dyDescent="0.2">
      <c r="B151" s="25">
        <v>115</v>
      </c>
      <c r="C151" s="36">
        <f>IF(B150&lt;'Умови та класичний графік'!$J$14,EDATE(C150,1),"")</f>
        <v>47696</v>
      </c>
      <c r="D151" s="36">
        <f>IF(B150&lt;'Умови та класичний графік'!$J$14,C150,"")</f>
        <v>47665</v>
      </c>
      <c r="E151" s="26">
        <f>IF(B150&lt;'Умови та класичний графік'!$J$14,C151-1,"")</f>
        <v>47695</v>
      </c>
      <c r="F151" s="37">
        <f>IF(B150&lt;'Умови та класичний графік'!$J$14,E151-D151+1,"")</f>
        <v>31</v>
      </c>
      <c r="G151" s="86">
        <f>IF(B150&lt;'Умови та класичний графік'!$J$14,J151+K151+L151,"")</f>
        <v>137533.10502283106</v>
      </c>
      <c r="H151" s="87"/>
      <c r="I151" s="32">
        <f>IF(B150&lt;'Умови та класичний графік'!$J$14,I150-J151,"")</f>
        <v>5208333.333333333</v>
      </c>
      <c r="J151" s="32">
        <f>IF(B150&lt;'Умови та класичний графік'!$J$14,J150,"")</f>
        <v>41666.666666666664</v>
      </c>
      <c r="K151" s="32">
        <f>IF(B150&lt;'Умови та класичний графік'!$J$14,((I150*'Умови та класичний графік'!$J$22)/365)*F151,"")</f>
        <v>95866.438356164392</v>
      </c>
      <c r="L151" s="30">
        <f>IF(B150&lt;'Умови та класичний графік'!$J$14,SUM(M151:V151),"")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графік'!$J$14,XIRR($G$36:G151,$C$36:C151,0),"")</f>
        <v>0.22900512207031254</v>
      </c>
      <c r="X151" s="42"/>
      <c r="Y151" s="35"/>
    </row>
    <row r="152" spans="2:25" x14ac:dyDescent="0.2">
      <c r="B152" s="25">
        <v>116</v>
      </c>
      <c r="C152" s="36">
        <f>IF(B151&lt;'Умови та класичний графік'!$J$14,EDATE(C151,1),"")</f>
        <v>47727</v>
      </c>
      <c r="D152" s="36">
        <f>IF(B151&lt;'Умови та класичний графік'!$J$14,C151,"")</f>
        <v>47696</v>
      </c>
      <c r="E152" s="26">
        <f>IF(B151&lt;'Умови та класичний графік'!$J$14,C152-1,"")</f>
        <v>47726</v>
      </c>
      <c r="F152" s="37">
        <f>IF(B151&lt;'Умови та класичний графік'!$J$14,E152-D152+1,"")</f>
        <v>31</v>
      </c>
      <c r="G152" s="86">
        <f>IF(B151&lt;'Умови та класичний графік'!$J$14,J152+K152+L152,"")</f>
        <v>136772.26027397258</v>
      </c>
      <c r="H152" s="87"/>
      <c r="I152" s="32">
        <f>IF(B151&lt;'Умови та класичний графік'!$J$14,I151-J152,"")</f>
        <v>5166666.666666666</v>
      </c>
      <c r="J152" s="32">
        <f>IF(B151&lt;'Умови та класичний графік'!$J$14,J151,"")</f>
        <v>41666.666666666664</v>
      </c>
      <c r="K152" s="32">
        <f>IF(B151&lt;'Умови та класичний графік'!$J$14,((I151*'Умови та класичний графік'!$J$22)/365)*F152,"")</f>
        <v>95105.593607305927</v>
      </c>
      <c r="L152" s="30">
        <f>IF(B151&lt;'Умови та класичний графік'!$J$14,SUM(M152:V152),"")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графік'!$J$14,XIRR($G$36:G152,$C$36:C152,0),"")</f>
        <v>0.22976683105468754</v>
      </c>
      <c r="X152" s="42"/>
      <c r="Y152" s="35"/>
    </row>
    <row r="153" spans="2:25" x14ac:dyDescent="0.2">
      <c r="B153" s="25">
        <v>117</v>
      </c>
      <c r="C153" s="36">
        <f>IF(B152&lt;'Умови та класичний графік'!$J$14,EDATE(C152,1),"")</f>
        <v>47757</v>
      </c>
      <c r="D153" s="36">
        <f>IF(B152&lt;'Умови та класичний графік'!$J$14,C152,"")</f>
        <v>47727</v>
      </c>
      <c r="E153" s="26">
        <f>IF(B152&lt;'Умови та класичний графік'!$J$14,C153-1,"")</f>
        <v>47756</v>
      </c>
      <c r="F153" s="37">
        <f>IF(B152&lt;'Умови та класичний графік'!$J$14,E153-D153+1,"")</f>
        <v>30</v>
      </c>
      <c r="G153" s="86">
        <f>IF(B152&lt;'Умови та класичний графік'!$J$14,J153+K153+L153,"")</f>
        <v>132968.03652968036</v>
      </c>
      <c r="H153" s="87"/>
      <c r="I153" s="32">
        <f>IF(B152&lt;'Умови та класичний графік'!$J$14,I152-J153,"")</f>
        <v>5124999.9999999991</v>
      </c>
      <c r="J153" s="32">
        <f>IF(B152&lt;'Умови та класичний графік'!$J$14,J152,"")</f>
        <v>41666.666666666664</v>
      </c>
      <c r="K153" s="32">
        <f>IF(B152&lt;'Умови та класичний графік'!$J$14,((I152*'Умови та класичний графік'!$J$22)/365)*F153,"")</f>
        <v>91301.369863013693</v>
      </c>
      <c r="L153" s="30">
        <f>IF(B152&lt;'Умови та класичний графік'!$J$14,SUM(M153:V153),"")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графік'!$J$14,XIRR($G$36:G153,$C$36:C153,0),"")</f>
        <v>0.23048898925781253</v>
      </c>
      <c r="X153" s="42"/>
      <c r="Y153" s="35"/>
    </row>
    <row r="154" spans="2:25" x14ac:dyDescent="0.2">
      <c r="B154" s="25">
        <v>118</v>
      </c>
      <c r="C154" s="36">
        <f>IF(B153&lt;'Умови та класичний графік'!$J$14,EDATE(C153,1),"")</f>
        <v>47788</v>
      </c>
      <c r="D154" s="36">
        <f>IF(B153&lt;'Умови та класичний графік'!$J$14,C153,"")</f>
        <v>47757</v>
      </c>
      <c r="E154" s="26">
        <f>IF(B153&lt;'Умови та класичний графік'!$J$14,C154-1,"")</f>
        <v>47787</v>
      </c>
      <c r="F154" s="37">
        <f>IF(B153&lt;'Умови та класичний графік'!$J$14,E154-D154+1,"")</f>
        <v>31</v>
      </c>
      <c r="G154" s="86">
        <f>IF(B153&lt;'Умови та класичний графік'!$J$14,J154+K154+L154,"")</f>
        <v>135250.57077625568</v>
      </c>
      <c r="H154" s="87"/>
      <c r="I154" s="32">
        <f>IF(B153&lt;'Умови та класичний графік'!$J$14,I153-J154,"")</f>
        <v>5083333.3333333321</v>
      </c>
      <c r="J154" s="32">
        <f>IF(B153&lt;'Умови та класичний графік'!$J$14,J153,"")</f>
        <v>41666.666666666664</v>
      </c>
      <c r="K154" s="32">
        <f>IF(B153&lt;'Умови та класичний графік'!$J$14,((I153*'Умови та класичний графік'!$J$22)/365)*F154,"")</f>
        <v>93583.904109589013</v>
      </c>
      <c r="L154" s="30">
        <f>IF(B153&lt;'Умови та класичний графік'!$J$14,SUM(M154:V154),"")</f>
        <v>0</v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>
        <f>IF(B153&lt;'Умови та класичний графік'!$J$14,XIRR($G$36:G154,$C$36:C154,0),"")</f>
        <v>0.23120499511718756</v>
      </c>
      <c r="X154" s="42"/>
      <c r="Y154" s="35"/>
    </row>
    <row r="155" spans="2:25" x14ac:dyDescent="0.2">
      <c r="B155" s="25">
        <v>119</v>
      </c>
      <c r="C155" s="36">
        <f>IF(B154&lt;'Умови та класичний графік'!$J$14,EDATE(C154,1),"")</f>
        <v>47818</v>
      </c>
      <c r="D155" s="36">
        <f>IF(B154&lt;'Умови та класичний графік'!$J$14,C154,"")</f>
        <v>47788</v>
      </c>
      <c r="E155" s="26">
        <f>IF(B154&lt;'Умови та класичний графік'!$J$14,C155-1,"")</f>
        <v>47817</v>
      </c>
      <c r="F155" s="37">
        <f>IF(B154&lt;'Умови та класичний графік'!$J$14,E155-D155+1,"")</f>
        <v>30</v>
      </c>
      <c r="G155" s="86">
        <f>IF(B154&lt;'Умови та класичний графік'!$J$14,J155+K155+L155,"")</f>
        <v>131495.43378995432</v>
      </c>
      <c r="H155" s="87"/>
      <c r="I155" s="32">
        <f>IF(B154&lt;'Умови та класичний графік'!$J$14,I154-J155,"")</f>
        <v>5041666.6666666651</v>
      </c>
      <c r="J155" s="32">
        <f>IF(B154&lt;'Умови та класичний графік'!$J$14,J154,"")</f>
        <v>41666.666666666664</v>
      </c>
      <c r="K155" s="32">
        <f>IF(B154&lt;'Умови та класичний графік'!$J$14,((I154*'Умови та класичний графік'!$J$22)/365)*F155,"")</f>
        <v>89828.767123287646</v>
      </c>
      <c r="L155" s="30">
        <f>IF(B154&lt;'Умови та класичний графік'!$J$14,SUM(M155:V155),"")</f>
        <v>0</v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>
        <f>IF(B154&lt;'Умови та класичний графік'!$J$14,XIRR($G$36:G155,$C$36:C155,0),"")</f>
        <v>0.23188402832031252</v>
      </c>
      <c r="X155" s="42"/>
      <c r="Y155" s="35"/>
    </row>
    <row r="156" spans="2:25" x14ac:dyDescent="0.2">
      <c r="B156" s="25">
        <v>120</v>
      </c>
      <c r="C156" s="36">
        <f>IF(B155&lt;'Умови та класичний графік'!$J$14,EDATE(C155,1),"")</f>
        <v>47849</v>
      </c>
      <c r="D156" s="36">
        <f>IF(B155&lt;'Умови та класичний графік'!$J$14,C155,"")</f>
        <v>47818</v>
      </c>
      <c r="E156" s="26">
        <f>IF(B155&lt;'Умови та класичний графік'!$J$14,C156-1,"")</f>
        <v>47848</v>
      </c>
      <c r="F156" s="37">
        <f>IF(B155&lt;'Умови та класичний графік'!$J$14,E156-D156+1,"")</f>
        <v>31</v>
      </c>
      <c r="G156" s="86">
        <f>IF(B155&lt;'Умови та класичний графік'!$J$14,J156+K156+L156,"")</f>
        <v>189228.88127853879</v>
      </c>
      <c r="H156" s="87"/>
      <c r="I156" s="32">
        <f>IF(B155&lt;'Умови та класичний графік'!$J$14,I155-J156,"")</f>
        <v>4999999.9999999981</v>
      </c>
      <c r="J156" s="32">
        <f>IF(B155&lt;'Умови та класичний графік'!$J$14,J155,"")</f>
        <v>41666.666666666664</v>
      </c>
      <c r="K156" s="32">
        <f>IF(B155&lt;'Умови та класичний графік'!$J$14,((I155*'Умови та класичний графік'!$J$22)/365)*F156,"")</f>
        <v>92062.214611872114</v>
      </c>
      <c r="L156" s="30">
        <f>IF(B155&lt;'Умови та класичний графік'!$J$14,SUM(M156:V156),"")</f>
        <v>55499.999999999993</v>
      </c>
      <c r="M156" s="38"/>
      <c r="N156" s="39"/>
      <c r="O156" s="39"/>
      <c r="P156" s="32"/>
      <c r="Q156" s="40"/>
      <c r="R156" s="40"/>
      <c r="S156" s="41"/>
      <c r="T156" s="41"/>
      <c r="U156" s="33">
        <f>IF(B155&lt;'Умови та класичний графік'!$J$14,('Умови та класичний графік'!$J$15*$N$20)+(I156*$N$21),"")</f>
        <v>55499.999999999993</v>
      </c>
      <c r="V156" s="41"/>
      <c r="W156" s="43">
        <f>IF(B155&lt;'Умови та класичний графік'!$J$14,XIRR($G$36:G156,$C$36:C156,0),"")</f>
        <v>0.23283523925781258</v>
      </c>
      <c r="X156" s="42"/>
      <c r="Y156" s="35"/>
    </row>
    <row r="157" spans="2:25" x14ac:dyDescent="0.2">
      <c r="B157" s="25">
        <v>121</v>
      </c>
      <c r="C157" s="36">
        <f>IF(B156&lt;'Умови та класичний графік'!$J$14,EDATE(C156,1),"")</f>
        <v>47880</v>
      </c>
      <c r="D157" s="36">
        <f>IF(B156&lt;'Умови та класичний графік'!$J$14,C156,"")</f>
        <v>47849</v>
      </c>
      <c r="E157" s="26">
        <f>IF(B156&lt;'Умови та класичний графік'!$J$14,C157-1,"")</f>
        <v>47879</v>
      </c>
      <c r="F157" s="37">
        <f>IF(B156&lt;'Умови та класичний графік'!$J$14,E157-D157+1,"")</f>
        <v>31</v>
      </c>
      <c r="G157" s="86">
        <f>IF(B156&lt;'Умови та класичний графік'!$J$14,J157+K157+L157,"")</f>
        <v>132968.03652968034</v>
      </c>
      <c r="H157" s="87"/>
      <c r="I157" s="32">
        <f>IF(B156&lt;'Умови та класичний графік'!$J$14,I156-J157,"")</f>
        <v>4958333.3333333312</v>
      </c>
      <c r="J157" s="32">
        <f>IF(B156&lt;'Умови та класичний графік'!$J$14,J156,"")</f>
        <v>41666.666666666664</v>
      </c>
      <c r="K157" s="32">
        <f>IF(B156&lt;'Умови та класичний графік'!$J$14,((I156*'Умови та класичний графік'!$J$22)/365)*F157,"")</f>
        <v>91301.369863013664</v>
      </c>
      <c r="L157" s="30">
        <f>IF(B156&lt;'Умови та класичний графік'!$J$14,SUM(M157:V157),"")</f>
        <v>0</v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>
        <f>IF(B156&lt;'Умови та класичний графік'!$J$14,XIRR($G$36:G157,$C$36:C157,0),"")</f>
        <v>0.23348592285156256</v>
      </c>
      <c r="X157" s="42"/>
      <c r="Y157" s="35"/>
    </row>
    <row r="158" spans="2:25" x14ac:dyDescent="0.2">
      <c r="B158" s="25">
        <v>122</v>
      </c>
      <c r="C158" s="36">
        <f>IF(B157&lt;'Умови та класичний графік'!$J$14,EDATE(C157,1),"")</f>
        <v>47908</v>
      </c>
      <c r="D158" s="36">
        <f>IF(B157&lt;'Умови та класичний графік'!$J$14,C157,"")</f>
        <v>47880</v>
      </c>
      <c r="E158" s="26">
        <f>IF(B157&lt;'Умови та класичний графік'!$J$14,C158-1,"")</f>
        <v>47907</v>
      </c>
      <c r="F158" s="37">
        <f>IF(B157&lt;'Умови та класичний графік'!$J$14,E158-D158+1,"")</f>
        <v>28</v>
      </c>
      <c r="G158" s="86">
        <f>IF(B157&lt;'Умови та класичний графік'!$J$14,J158+K158+L158,"")</f>
        <v>123445.20547945204</v>
      </c>
      <c r="H158" s="87"/>
      <c r="I158" s="32">
        <f>IF(B157&lt;'Умови та класичний графік'!$J$14,I157-J158,"")</f>
        <v>4916666.6666666642</v>
      </c>
      <c r="J158" s="32">
        <f>IF(B157&lt;'Умови та класичний графік'!$J$14,J157,"")</f>
        <v>41666.666666666664</v>
      </c>
      <c r="K158" s="32">
        <f>IF(B157&lt;'Умови та класичний графік'!$J$14,((I157*'Умови та класичний графік'!$J$22)/365)*F158,"")</f>
        <v>81778.538812785366</v>
      </c>
      <c r="L158" s="30">
        <f>IF(B157&lt;'Умови та класичний графік'!$J$14,SUM(M158:V158),"")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графік'!$J$14,XIRR($G$36:G158,$C$36:C158,0),"")</f>
        <v>0.23407613769531255</v>
      </c>
      <c r="X158" s="42"/>
      <c r="Y158" s="35"/>
    </row>
    <row r="159" spans="2:25" x14ac:dyDescent="0.2">
      <c r="B159" s="25">
        <v>123</v>
      </c>
      <c r="C159" s="36">
        <f>IF(B158&lt;'Умови та класичний графік'!$J$14,EDATE(C158,1),"")</f>
        <v>47939</v>
      </c>
      <c r="D159" s="36">
        <f>IF(B158&lt;'Умови та класичний графік'!$J$14,C158,"")</f>
        <v>47908</v>
      </c>
      <c r="E159" s="26">
        <f>IF(B158&lt;'Умови та класичний графік'!$J$14,C159-1,"")</f>
        <v>47938</v>
      </c>
      <c r="F159" s="37">
        <f>IF(B158&lt;'Умови та класичний графік'!$J$14,E159-D159+1,"")</f>
        <v>31</v>
      </c>
      <c r="G159" s="86">
        <f>IF(B158&lt;'Умови та класичний графік'!$J$14,J159+K159+L159,"")</f>
        <v>131446.34703196344</v>
      </c>
      <c r="H159" s="87"/>
      <c r="I159" s="32">
        <f>IF(B158&lt;'Умови та класичний графік'!$J$14,I158-J159,"")</f>
        <v>4874999.9999999972</v>
      </c>
      <c r="J159" s="32">
        <f>IF(B158&lt;'Умови та класичний графік'!$J$14,J158,"")</f>
        <v>41666.666666666664</v>
      </c>
      <c r="K159" s="32">
        <f>IF(B158&lt;'Умови та класичний графік'!$J$14,((I158*'Умови та класичний графік'!$J$22)/365)*F159,"")</f>
        <v>89779.680365296765</v>
      </c>
      <c r="L159" s="30">
        <f>IF(B158&lt;'Умови та класичний графік'!$J$14,SUM(M159:V159),"")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графік'!$J$14,XIRR($G$36:G159,$C$36:C159,0),"")</f>
        <v>0.23468919433593755</v>
      </c>
      <c r="X159" s="42"/>
      <c r="Y159" s="35"/>
    </row>
    <row r="160" spans="2:25" x14ac:dyDescent="0.2">
      <c r="B160" s="25">
        <v>124</v>
      </c>
      <c r="C160" s="36">
        <f>IF(B159&lt;'Умови та класичний графік'!$J$14,EDATE(C159,1),"")</f>
        <v>47969</v>
      </c>
      <c r="D160" s="36">
        <f>IF(B159&lt;'Умови та класичний графік'!$J$14,C159,"")</f>
        <v>47939</v>
      </c>
      <c r="E160" s="26">
        <f>IF(B159&lt;'Умови та класичний графік'!$J$14,C160-1,"")</f>
        <v>47968</v>
      </c>
      <c r="F160" s="37">
        <f>IF(B159&lt;'Умови та класичний графік'!$J$14,E160-D160+1,"")</f>
        <v>30</v>
      </c>
      <c r="G160" s="86">
        <f>IF(B159&lt;'Умови та класичний графік'!$J$14,J160+K160+L160,"")</f>
        <v>127813.92694063921</v>
      </c>
      <c r="H160" s="87"/>
      <c r="I160" s="32">
        <f>IF(B159&lt;'Умови та класичний графік'!$J$14,I159-J160,"")</f>
        <v>4833333.3333333302</v>
      </c>
      <c r="J160" s="32">
        <f>IF(B159&lt;'Умови та класичний графік'!$J$14,J159,"")</f>
        <v>41666.666666666664</v>
      </c>
      <c r="K160" s="32">
        <f>IF(B159&lt;'Умови та класичний графік'!$J$14,((I159*'Умови та класичний графік'!$J$22)/365)*F160,"")</f>
        <v>86147.260273972555</v>
      </c>
      <c r="L160" s="30">
        <f>IF(B159&lt;'Умови та класичний графік'!$J$14,SUM(M160:V160),"")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графік'!$J$14,XIRR($G$36:G160,$C$36:C160,0),"")</f>
        <v>0.23527099121093759</v>
      </c>
      <c r="X160" s="42"/>
      <c r="Y160" s="35"/>
    </row>
    <row r="161" spans="2:25" x14ac:dyDescent="0.2">
      <c r="B161" s="25">
        <v>125</v>
      </c>
      <c r="C161" s="36">
        <f>IF(B160&lt;'Умови та класичний графік'!$J$14,EDATE(C160,1),"")</f>
        <v>48000</v>
      </c>
      <c r="D161" s="36">
        <f>IF(B160&lt;'Умови та класичний графік'!$J$14,C160,"")</f>
        <v>47969</v>
      </c>
      <c r="E161" s="26">
        <f>IF(B160&lt;'Умови та класичний графік'!$J$14,C161-1,"")</f>
        <v>47999</v>
      </c>
      <c r="F161" s="37">
        <f>IF(B160&lt;'Умови та класичний графік'!$J$14,E161-D161+1,"")</f>
        <v>31</v>
      </c>
      <c r="G161" s="86">
        <f>IF(B160&lt;'Умови та класичний графік'!$J$14,J161+K161+L161,"")</f>
        <v>129924.65753424651</v>
      </c>
      <c r="H161" s="87"/>
      <c r="I161" s="32">
        <f>IF(B160&lt;'Умови та класичний графік'!$J$14,I160-J161,"")</f>
        <v>4791666.6666666633</v>
      </c>
      <c r="J161" s="32">
        <f>IF(B160&lt;'Умови та класичний графік'!$J$14,J160,"")</f>
        <v>41666.666666666664</v>
      </c>
      <c r="K161" s="32">
        <f>IF(B160&lt;'Умови та класичний графік'!$J$14,((I160*'Умови та класичний графік'!$J$22)/365)*F161,"")</f>
        <v>88257.990867579851</v>
      </c>
      <c r="L161" s="30">
        <f>IF(B160&lt;'Умови та класичний графік'!$J$14,SUM(M161:V161),"")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графік'!$J$14,XIRR($G$36:G161,$C$36:C161,0),"")</f>
        <v>0.23584791503906249</v>
      </c>
      <c r="X161" s="42"/>
      <c r="Y161" s="35"/>
    </row>
    <row r="162" spans="2:25" x14ac:dyDescent="0.2">
      <c r="B162" s="25">
        <v>126</v>
      </c>
      <c r="C162" s="36">
        <f>IF(B161&lt;'Умови та класичний графік'!$J$14,EDATE(C161,1),"")</f>
        <v>48030</v>
      </c>
      <c r="D162" s="36">
        <f>IF(B161&lt;'Умови та класичний графік'!$J$14,C161,"")</f>
        <v>48000</v>
      </c>
      <c r="E162" s="26">
        <f>IF(B161&lt;'Умови та класичний графік'!$J$14,C162-1,"")</f>
        <v>48029</v>
      </c>
      <c r="F162" s="37">
        <f>IF(B161&lt;'Умови та класичний графік'!$J$14,E162-D162+1,"")</f>
        <v>30</v>
      </c>
      <c r="G162" s="86">
        <f>IF(B161&lt;'Умови та класичний графік'!$J$14,J162+K162+L162,"")</f>
        <v>126341.32420091316</v>
      </c>
      <c r="H162" s="87"/>
      <c r="I162" s="32">
        <f>IF(B161&lt;'Умови та класичний графік'!$J$14,I161-J162,"")</f>
        <v>4749999.9999999963</v>
      </c>
      <c r="J162" s="32">
        <f>IF(B161&lt;'Умови та класичний графік'!$J$14,J161,"")</f>
        <v>41666.666666666664</v>
      </c>
      <c r="K162" s="32">
        <f>IF(B161&lt;'Умови та класичний графік'!$J$14,((I161*'Умови та класичний графік'!$J$22)/365)*F162,"")</f>
        <v>84674.657534246508</v>
      </c>
      <c r="L162" s="30">
        <f>IF(B161&lt;'Умови та класичний графік'!$J$14,SUM(M162:V162),"")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графік'!$J$14,XIRR($G$36:G162,$C$36:C162,0),"")</f>
        <v>0.23639556152343755</v>
      </c>
      <c r="X162" s="42"/>
      <c r="Y162" s="35"/>
    </row>
    <row r="163" spans="2:25" x14ac:dyDescent="0.2">
      <c r="B163" s="25">
        <v>127</v>
      </c>
      <c r="C163" s="36">
        <f>IF(B162&lt;'Умови та класичний графік'!$J$14,EDATE(C162,1),"")</f>
        <v>48061</v>
      </c>
      <c r="D163" s="36">
        <f>IF(B162&lt;'Умови та класичний графік'!$J$14,C162,"")</f>
        <v>48030</v>
      </c>
      <c r="E163" s="26">
        <f>IF(B162&lt;'Умови та класичний графік'!$J$14,C163-1,"")</f>
        <v>48060</v>
      </c>
      <c r="F163" s="37">
        <f>IF(B162&lt;'Умови та класичний графік'!$J$14,E163-D163+1,"")</f>
        <v>31</v>
      </c>
      <c r="G163" s="86">
        <f>IF(B162&lt;'Умови та класичний графік'!$J$14,J163+K163+L163,"")</f>
        <v>128402.96803652961</v>
      </c>
      <c r="H163" s="87"/>
      <c r="I163" s="32">
        <f>IF(B162&lt;'Умови та класичний графік'!$J$14,I162-J163,"")</f>
        <v>4708333.3333333293</v>
      </c>
      <c r="J163" s="32">
        <f>IF(B162&lt;'Умови та класичний графік'!$J$14,J162,"")</f>
        <v>41666.666666666664</v>
      </c>
      <c r="K163" s="32">
        <f>IF(B162&lt;'Умови та класичний графік'!$J$14,((I162*'Умови та класичний графік'!$J$22)/365)*F163,"")</f>
        <v>86736.301369862937</v>
      </c>
      <c r="L163" s="30">
        <f>IF(B162&lt;'Умови та класичний графік'!$J$14,SUM(M163:V163),"")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графік'!$J$14,XIRR($G$36:G163,$C$36:C163,0),"")</f>
        <v>0.23693863769531254</v>
      </c>
      <c r="X163" s="42"/>
      <c r="Y163" s="35"/>
    </row>
    <row r="164" spans="2:25" x14ac:dyDescent="0.2">
      <c r="B164" s="25">
        <v>128</v>
      </c>
      <c r="C164" s="36">
        <f>IF(B163&lt;'Умови та класичний графік'!$J$14,EDATE(C163,1),"")</f>
        <v>48092</v>
      </c>
      <c r="D164" s="36">
        <f>IF(B163&lt;'Умови та класичний графік'!$J$14,C163,"")</f>
        <v>48061</v>
      </c>
      <c r="E164" s="26">
        <f>IF(B163&lt;'Умови та класичний графік'!$J$14,C164-1,"")</f>
        <v>48091</v>
      </c>
      <c r="F164" s="37">
        <f>IF(B163&lt;'Умови та класичний графік'!$J$14,E164-D164+1,"")</f>
        <v>31</v>
      </c>
      <c r="G164" s="86">
        <f>IF(B163&lt;'Умови та класичний графік'!$J$14,J164+K164+L164,"")</f>
        <v>127642.12328767116</v>
      </c>
      <c r="H164" s="87"/>
      <c r="I164" s="32">
        <f>IF(B163&lt;'Умови та класичний графік'!$J$14,I163-J164,"")</f>
        <v>4666666.6666666623</v>
      </c>
      <c r="J164" s="32">
        <f>IF(B163&lt;'Умови та класичний графік'!$J$14,J163,"")</f>
        <v>41666.666666666664</v>
      </c>
      <c r="K164" s="32">
        <f>IF(B163&lt;'Умови та класичний графік'!$J$14,((I163*'Умови та класичний графік'!$J$22)/365)*F164,"")</f>
        <v>85975.456621004501</v>
      </c>
      <c r="L164" s="30">
        <f>IF(B163&lt;'Умови та класичний графік'!$J$14,SUM(M164:V164),"")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графік'!$J$14,XIRR($G$36:G164,$C$36:C164,0),"")</f>
        <v>0.23746538574218751</v>
      </c>
      <c r="X164" s="42"/>
      <c r="Y164" s="35"/>
    </row>
    <row r="165" spans="2:25" x14ac:dyDescent="0.2">
      <c r="B165" s="25">
        <v>129</v>
      </c>
      <c r="C165" s="36">
        <f>IF(B164&lt;'Умови та класичний графік'!$J$14,EDATE(C164,1),"")</f>
        <v>48122</v>
      </c>
      <c r="D165" s="36">
        <f>IF(B164&lt;'Умови та класичний графік'!$J$14,C164,"")</f>
        <v>48092</v>
      </c>
      <c r="E165" s="26">
        <f>IF(B164&lt;'Умови та класичний графік'!$J$14,C165-1,"")</f>
        <v>48121</v>
      </c>
      <c r="F165" s="37">
        <f>IF(B164&lt;'Умови та класичний графік'!$J$14,E165-D165+1,"")</f>
        <v>30</v>
      </c>
      <c r="G165" s="86">
        <f>IF(B164&lt;'Умови та класичний графік'!$J$14,J165+K165+L165,"")</f>
        <v>124132.42009132414</v>
      </c>
      <c r="H165" s="87"/>
      <c r="I165" s="32">
        <f>IF(B164&lt;'Умови та класичний графік'!$J$14,I164-J165,"")</f>
        <v>4624999.9999999953</v>
      </c>
      <c r="J165" s="32">
        <f>IF(B164&lt;'Умови та класичний графік'!$J$14,J164,"")</f>
        <v>41666.666666666664</v>
      </c>
      <c r="K165" s="32">
        <f>IF(B164&lt;'Умови та класичний графік'!$J$14,((I164*'Умови та класичний графік'!$J$22)/365)*F165,"")</f>
        <v>82465.753424657465</v>
      </c>
      <c r="L165" s="30">
        <f>IF(B164&lt;'Умови та класичний графік'!$J$14,SUM(M165:V165),"")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графік'!$J$14,XIRR($G$36:G165,$C$36:C165,0),"")</f>
        <v>0.2379656103515625</v>
      </c>
      <c r="X165" s="42"/>
      <c r="Y165" s="35"/>
    </row>
    <row r="166" spans="2:25" x14ac:dyDescent="0.2">
      <c r="B166" s="25">
        <v>130</v>
      </c>
      <c r="C166" s="36">
        <f>IF(B165&lt;'Умови та класичний графік'!$J$14,EDATE(C165,1),"")</f>
        <v>48153</v>
      </c>
      <c r="D166" s="36">
        <f>IF(B165&lt;'Умови та класичний графік'!$J$14,C165,"")</f>
        <v>48122</v>
      </c>
      <c r="E166" s="26">
        <f>IF(B165&lt;'Умови та класичний графік'!$J$14,C166-1,"")</f>
        <v>48152</v>
      </c>
      <c r="F166" s="37">
        <f>IF(B165&lt;'Умови та класичний графік'!$J$14,E166-D166+1,"")</f>
        <v>31</v>
      </c>
      <c r="G166" s="86">
        <f>IF(B165&lt;'Умови та класичний графік'!$J$14,J166+K166+L166,"")</f>
        <v>126120.43378995426</v>
      </c>
      <c r="H166" s="87"/>
      <c r="I166" s="32">
        <f>IF(B165&lt;'Умови та класичний графік'!$J$14,I165-J166,"")</f>
        <v>4583333.3333333284</v>
      </c>
      <c r="J166" s="32">
        <f>IF(B165&lt;'Умови та класичний графік'!$J$14,J165,"")</f>
        <v>41666.666666666664</v>
      </c>
      <c r="K166" s="32">
        <f>IF(B165&lt;'Умови та класичний графік'!$J$14,((I165*'Умови та класичний графік'!$J$22)/365)*F166,"")</f>
        <v>84453.767123287587</v>
      </c>
      <c r="L166" s="30">
        <f>IF(B165&lt;'Умови та класичний графік'!$J$14,SUM(M166:V166),"")</f>
        <v>0</v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>
        <f>IF(B165&lt;'Умови та класичний графік'!$J$14,XIRR($G$36:G166,$C$36:C166,0),"")</f>
        <v>0.23846164550781251</v>
      </c>
      <c r="X166" s="42"/>
      <c r="Y166" s="35"/>
    </row>
    <row r="167" spans="2:25" x14ac:dyDescent="0.2">
      <c r="B167" s="25">
        <v>131</v>
      </c>
      <c r="C167" s="36">
        <f>IF(B166&lt;'Умови та класичний графік'!$J$14,EDATE(C166,1),"")</f>
        <v>48183</v>
      </c>
      <c r="D167" s="36">
        <f>IF(B166&lt;'Умови та класичний графік'!$J$14,C166,"")</f>
        <v>48153</v>
      </c>
      <c r="E167" s="26">
        <f>IF(B166&lt;'Умови та класичний графік'!$J$14,C167-1,"")</f>
        <v>48182</v>
      </c>
      <c r="F167" s="37">
        <f>IF(B166&lt;'Умови та класичний графік'!$J$14,E167-D167+1,"")</f>
        <v>30</v>
      </c>
      <c r="G167" s="86">
        <f>IF(B166&lt;'Умови та класичний графік'!$J$14,J167+K167+L167,"")</f>
        <v>122659.81735159809</v>
      </c>
      <c r="H167" s="87"/>
      <c r="I167" s="32">
        <f>IF(B166&lt;'Умови та класичний графік'!$J$14,I166-J167,"")</f>
        <v>4541666.6666666614</v>
      </c>
      <c r="J167" s="32">
        <f>IF(B166&lt;'Умови та класичний графік'!$J$14,J166,"")</f>
        <v>41666.666666666664</v>
      </c>
      <c r="K167" s="32">
        <f>IF(B166&lt;'Умови та класичний графік'!$J$14,((I166*'Умови та класичний графік'!$J$22)/365)*F167,"")</f>
        <v>80993.150684931417</v>
      </c>
      <c r="L167" s="30">
        <f>IF(B166&lt;'Умови та класичний графік'!$J$14,SUM(M167:V167),"")</f>
        <v>0</v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>
        <f>IF(B166&lt;'Умови та класичний графік'!$J$14,XIRR($G$36:G167,$C$36:C167,0),"")</f>
        <v>0.23893280761718755</v>
      </c>
      <c r="X167" s="42"/>
      <c r="Y167" s="35"/>
    </row>
    <row r="168" spans="2:25" x14ac:dyDescent="0.2">
      <c r="B168" s="25">
        <v>132</v>
      </c>
      <c r="C168" s="36">
        <f>IF(B167&lt;'Умови та класичний графік'!$J$14,EDATE(C167,1),"")</f>
        <v>48214</v>
      </c>
      <c r="D168" s="36">
        <f>IF(B167&lt;'Умови та класичний графік'!$J$14,C167,"")</f>
        <v>48183</v>
      </c>
      <c r="E168" s="26">
        <f>IF(B167&lt;'Умови та класичний графік'!$J$14,C168-1,"")</f>
        <v>48213</v>
      </c>
      <c r="F168" s="37">
        <f>IF(B167&lt;'Умови та класичний графік'!$J$14,E168-D168+1,"")</f>
        <v>31</v>
      </c>
      <c r="G168" s="86">
        <f>IF(B167&lt;'Умови та класичний графік'!$J$14,J168+K168+L168,"")</f>
        <v>178598.74429223733</v>
      </c>
      <c r="H168" s="87"/>
      <c r="I168" s="32">
        <f>IF(B167&lt;'Умови та класичний графік'!$J$14,I167-J168,"")</f>
        <v>4499999.9999999944</v>
      </c>
      <c r="J168" s="32">
        <f>IF(B167&lt;'Умови та класичний графік'!$J$14,J167,"")</f>
        <v>41666.666666666664</v>
      </c>
      <c r="K168" s="32">
        <f>IF(B167&lt;'Умови та класичний графік'!$J$14,((I167*'Умови та класичний графік'!$J$22)/365)*F168,"")</f>
        <v>82932.077625570688</v>
      </c>
      <c r="L168" s="30">
        <f>IF(B167&lt;'Умови та класичний графік'!$J$14,SUM(M168:V168),"")</f>
        <v>53999.999999999985</v>
      </c>
      <c r="M168" s="38"/>
      <c r="N168" s="39"/>
      <c r="O168" s="39"/>
      <c r="P168" s="32"/>
      <c r="Q168" s="40"/>
      <c r="R168" s="40"/>
      <c r="S168" s="41"/>
      <c r="T168" s="41"/>
      <c r="U168" s="33">
        <f>IF(B167&lt;'Умови та класичний графік'!$J$14,('Умови та класичний графік'!$J$15*$N$20)+(I168*$N$21),"")</f>
        <v>53999.999999999985</v>
      </c>
      <c r="V168" s="41"/>
      <c r="W168" s="43">
        <f>IF(B167&lt;'Умови та класичний графік'!$J$14,XIRR($G$36:G168,$C$36:C168,0),"")</f>
        <v>0.23960164550781249</v>
      </c>
      <c r="X168" s="42"/>
      <c r="Y168" s="35"/>
    </row>
    <row r="169" spans="2:25" x14ac:dyDescent="0.2">
      <c r="B169" s="25">
        <v>133</v>
      </c>
      <c r="C169" s="36">
        <f>IF(B168&lt;'Умови та класичний графік'!$J$14,EDATE(C168,1),"")</f>
        <v>48245</v>
      </c>
      <c r="D169" s="36">
        <f>IF(B168&lt;'Умови та класичний графік'!$J$14,C168,"")</f>
        <v>48214</v>
      </c>
      <c r="E169" s="26">
        <f>IF(B168&lt;'Умови та класичний графік'!$J$14,C169-1,"")</f>
        <v>48244</v>
      </c>
      <c r="F169" s="37">
        <f>IF(B168&lt;'Умови та класичний графік'!$J$14,E169-D169+1,"")</f>
        <v>31</v>
      </c>
      <c r="G169" s="86">
        <f>IF(B168&lt;'Умови та класичний графік'!$J$14,J169+K169+L169,"")</f>
        <v>123837.89954337891</v>
      </c>
      <c r="H169" s="87"/>
      <c r="I169" s="32">
        <f>IF(B168&lt;'Умови та класичний графік'!$J$14,I168-J169,"")</f>
        <v>4458333.3333333274</v>
      </c>
      <c r="J169" s="32">
        <f>IF(B168&lt;'Умови та класичний графік'!$J$14,J168,"")</f>
        <v>41666.666666666664</v>
      </c>
      <c r="K169" s="32">
        <f>IF(B168&lt;'Умови та класичний графік'!$J$14,((I168*'Умови та класичний графік'!$J$22)/365)*F169,"")</f>
        <v>82171.232876712238</v>
      </c>
      <c r="L169" s="30">
        <f>IF(B168&lt;'Умови та класичний графік'!$J$14,SUM(M169:V169),"")</f>
        <v>0</v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>
        <f>IF(B168&lt;'Умови та класичний графік'!$J$14,XIRR($G$36:G169,$C$36:C169,0),"")</f>
        <v>0.24005380371093754</v>
      </c>
      <c r="X169" s="42"/>
      <c r="Y169" s="35"/>
    </row>
    <row r="170" spans="2:25" x14ac:dyDescent="0.2">
      <c r="B170" s="25">
        <v>134</v>
      </c>
      <c r="C170" s="36">
        <f>IF(B169&lt;'Умови та класичний графік'!$J$14,EDATE(C169,1),"")</f>
        <v>48274</v>
      </c>
      <c r="D170" s="36">
        <f>IF(B169&lt;'Умови та класичний графік'!$J$14,C169,"")</f>
        <v>48245</v>
      </c>
      <c r="E170" s="26">
        <f>IF(B169&lt;'Умови та класичний графік'!$J$14,C170-1,"")</f>
        <v>48273</v>
      </c>
      <c r="F170" s="37">
        <f>IF(B169&lt;'Умови та класичний графік'!$J$14,E170-D170+1,"")</f>
        <v>29</v>
      </c>
      <c r="G170" s="86">
        <f>IF(B169&lt;'Умови та класичний графік'!$J$14,J170+K170+L170,"")</f>
        <v>117824.7716894976</v>
      </c>
      <c r="H170" s="87"/>
      <c r="I170" s="32">
        <f>IF(B169&lt;'Умови та класичний графік'!$J$14,I169-J170,"")</f>
        <v>4416666.6666666605</v>
      </c>
      <c r="J170" s="32">
        <f>IF(B169&lt;'Умови та класичний графік'!$J$14,J169,"")</f>
        <v>41666.666666666664</v>
      </c>
      <c r="K170" s="32">
        <f>IF(B169&lt;'Умови та класичний графік'!$J$14,((I169*'Умови та класичний графік'!$J$22)/365)*F170,"")</f>
        <v>76158.105022830947</v>
      </c>
      <c r="L170" s="30">
        <f>IF(B169&lt;'Умови та класичний графік'!$J$14,SUM(M170:V170),"")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графік'!$J$14,XIRR($G$36:G170,$C$36:C170,0),"")</f>
        <v>0.24047435058593752</v>
      </c>
      <c r="X170" s="42"/>
      <c r="Y170" s="35"/>
    </row>
    <row r="171" spans="2:25" x14ac:dyDescent="0.2">
      <c r="B171" s="25">
        <v>135</v>
      </c>
      <c r="C171" s="36">
        <f>IF(B170&lt;'Умови та класичний графік'!$J$14,EDATE(C170,1),"")</f>
        <v>48305</v>
      </c>
      <c r="D171" s="36">
        <f>IF(B170&lt;'Умови та класичний графік'!$J$14,C170,"")</f>
        <v>48274</v>
      </c>
      <c r="E171" s="26">
        <f>IF(B170&lt;'Умови та класичний графік'!$J$14,C171-1,"")</f>
        <v>48304</v>
      </c>
      <c r="F171" s="37">
        <f>IF(B170&lt;'Умови та класичний графік'!$J$14,E171-D171+1,"")</f>
        <v>31</v>
      </c>
      <c r="G171" s="86">
        <f>IF(B170&lt;'Умови та класичний графік'!$J$14,J171+K171+L171,"")</f>
        <v>122316.21004566198</v>
      </c>
      <c r="H171" s="87"/>
      <c r="I171" s="32">
        <f>IF(B170&lt;'Умови та класичний графік'!$J$14,I170-J171,"")</f>
        <v>4374999.9999999935</v>
      </c>
      <c r="J171" s="32">
        <f>IF(B170&lt;'Умови та класичний графік'!$J$14,J170,"")</f>
        <v>41666.666666666664</v>
      </c>
      <c r="K171" s="32">
        <f>IF(B170&lt;'Умови та класичний графік'!$J$14,((I170*'Умови та класичний графік'!$J$22)/365)*F171,"")</f>
        <v>80649.543378995324</v>
      </c>
      <c r="L171" s="30">
        <f>IF(B170&lt;'Умови та класичний графік'!$J$14,SUM(M171:V171),"")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графік'!$J$14,XIRR($G$36:G171,$C$36:C171,0),"")</f>
        <v>0.24090067871093751</v>
      </c>
      <c r="X171" s="42"/>
      <c r="Y171" s="35"/>
    </row>
    <row r="172" spans="2:25" x14ac:dyDescent="0.2">
      <c r="B172" s="25">
        <v>136</v>
      </c>
      <c r="C172" s="36">
        <f>IF(B171&lt;'Умови та класичний графік'!$J$14,EDATE(C171,1),"")</f>
        <v>48335</v>
      </c>
      <c r="D172" s="36">
        <f>IF(B171&lt;'Умови та класичний графік'!$J$14,C171,"")</f>
        <v>48305</v>
      </c>
      <c r="E172" s="26">
        <f>IF(B171&lt;'Умови та класичний графік'!$J$14,C172-1,"")</f>
        <v>48334</v>
      </c>
      <c r="F172" s="37">
        <f>IF(B171&lt;'Умови та класичний графік'!$J$14,E172-D172+1,"")</f>
        <v>30</v>
      </c>
      <c r="G172" s="86">
        <f>IF(B171&lt;'Умови та класичний графік'!$J$14,J172+K172+L172,"")</f>
        <v>118978.31050228298</v>
      </c>
      <c r="H172" s="87"/>
      <c r="I172" s="32">
        <f>IF(B171&lt;'Умови та класичний графік'!$J$14,I171-J172,"")</f>
        <v>4333333.3333333265</v>
      </c>
      <c r="J172" s="32">
        <f>IF(B171&lt;'Умови та класичний графік'!$J$14,J171,"")</f>
        <v>41666.666666666664</v>
      </c>
      <c r="K172" s="32">
        <f>IF(B171&lt;'Умови та класичний графік'!$J$14,((I171*'Умови та класичний графік'!$J$22)/365)*F172,"")</f>
        <v>77311.643835616313</v>
      </c>
      <c r="L172" s="30">
        <f>IF(B171&lt;'Умови та класичний графік'!$J$14,SUM(M172:V172),"")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графік'!$J$14,XIRR($G$36:G172,$C$36:C172,0),"")</f>
        <v>0.24130586425781253</v>
      </c>
      <c r="X172" s="42"/>
      <c r="Y172" s="35"/>
    </row>
    <row r="173" spans="2:25" x14ac:dyDescent="0.2">
      <c r="B173" s="25">
        <v>137</v>
      </c>
      <c r="C173" s="36">
        <f>IF(B172&lt;'Умови та класичний графік'!$J$14,EDATE(C172,1),"")</f>
        <v>48366</v>
      </c>
      <c r="D173" s="36">
        <f>IF(B172&lt;'Умови та класичний графік'!$J$14,C172,"")</f>
        <v>48335</v>
      </c>
      <c r="E173" s="26">
        <f>IF(B172&lt;'Умови та класичний графік'!$J$14,C173-1,"")</f>
        <v>48365</v>
      </c>
      <c r="F173" s="37">
        <f>IF(B172&lt;'Умови та класичний графік'!$J$14,E173-D173+1,"")</f>
        <v>31</v>
      </c>
      <c r="G173" s="86">
        <f>IF(B172&lt;'Умови та класичний графік'!$J$14,J173+K173+L173,"")</f>
        <v>120794.52054794508</v>
      </c>
      <c r="H173" s="87"/>
      <c r="I173" s="32">
        <f>IF(B172&lt;'Умови та класичний графік'!$J$14,I172-J173,"")</f>
        <v>4291666.6666666595</v>
      </c>
      <c r="J173" s="32">
        <f>IF(B172&lt;'Умови та класичний графік'!$J$14,J172,"")</f>
        <v>41666.666666666664</v>
      </c>
      <c r="K173" s="32">
        <f>IF(B172&lt;'Умови та класичний графік'!$J$14,((I172*'Умови та класичний графік'!$J$22)/365)*F173,"")</f>
        <v>79127.853881278425</v>
      </c>
      <c r="L173" s="30">
        <f>IF(B172&lt;'Умови та класичний графік'!$J$14,SUM(M173:V173),"")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графік'!$J$14,XIRR($G$36:G173,$C$36:C173,0),"")</f>
        <v>0.24170762207031249</v>
      </c>
      <c r="X173" s="42"/>
      <c r="Y173" s="35"/>
    </row>
    <row r="174" spans="2:25" x14ac:dyDescent="0.2">
      <c r="B174" s="25">
        <v>138</v>
      </c>
      <c r="C174" s="36">
        <f>IF(B173&lt;'Умови та класичний графік'!$J$14,EDATE(C173,1),"")</f>
        <v>48396</v>
      </c>
      <c r="D174" s="36">
        <f>IF(B173&lt;'Умови та класичний графік'!$J$14,C173,"")</f>
        <v>48366</v>
      </c>
      <c r="E174" s="26">
        <f>IF(B173&lt;'Умови та класичний графік'!$J$14,C174-1,"")</f>
        <v>48395</v>
      </c>
      <c r="F174" s="37">
        <f>IF(B173&lt;'Умови та класичний графік'!$J$14,E174-D174+1,"")</f>
        <v>30</v>
      </c>
      <c r="G174" s="86">
        <f>IF(B173&lt;'Умови та класичний графік'!$J$14,J174+K174+L174,"")</f>
        <v>117505.70776255694</v>
      </c>
      <c r="H174" s="87"/>
      <c r="I174" s="32">
        <f>IF(B173&lt;'Умови та класичний графік'!$J$14,I173-J174,"")</f>
        <v>4249999.9999999925</v>
      </c>
      <c r="J174" s="32">
        <f>IF(B173&lt;'Умови та класичний графік'!$J$14,J173,"")</f>
        <v>41666.666666666664</v>
      </c>
      <c r="K174" s="32">
        <f>IF(B173&lt;'Умови та класичний графік'!$J$14,((I173*'Умови та класичний графік'!$J$22)/365)*F174,"")</f>
        <v>75839.041095890279</v>
      </c>
      <c r="L174" s="30">
        <f>IF(B173&lt;'Умови та класичний графік'!$J$14,SUM(M174:V174),"")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графік'!$J$14,XIRR($G$36:G174,$C$36:C174,0),"")</f>
        <v>0.24208955566406254</v>
      </c>
      <c r="X174" s="42"/>
      <c r="Y174" s="35"/>
    </row>
    <row r="175" spans="2:25" x14ac:dyDescent="0.2">
      <c r="B175" s="25">
        <v>139</v>
      </c>
      <c r="C175" s="36">
        <f>IF(B174&lt;'Умови та класичний графік'!$J$14,EDATE(C174,1),"")</f>
        <v>48427</v>
      </c>
      <c r="D175" s="36">
        <f>IF(B174&lt;'Умови та класичний графік'!$J$14,C174,"")</f>
        <v>48396</v>
      </c>
      <c r="E175" s="26">
        <f>IF(B174&lt;'Умови та класичний графік'!$J$14,C175-1,"")</f>
        <v>48426</v>
      </c>
      <c r="F175" s="37">
        <f>IF(B174&lt;'Умови та класичний графік'!$J$14,E175-D175+1,"")</f>
        <v>31</v>
      </c>
      <c r="G175" s="86">
        <f>IF(B174&lt;'Умови та класичний графік'!$J$14,J175+K175+L175,"")</f>
        <v>119272.83105022818</v>
      </c>
      <c r="H175" s="87"/>
      <c r="I175" s="32">
        <f>IF(B174&lt;'Умови та класичний графік'!$J$14,I174-J175,"")</f>
        <v>4208333.3333333256</v>
      </c>
      <c r="J175" s="32">
        <f>IF(B174&lt;'Умови та класичний графік'!$J$14,J174,"")</f>
        <v>41666.666666666664</v>
      </c>
      <c r="K175" s="32">
        <f>IF(B174&lt;'Умови та класичний графік'!$J$14,((I174*'Умови та класичний графік'!$J$22)/365)*F175,"")</f>
        <v>77606.16438356151</v>
      </c>
      <c r="L175" s="30">
        <f>IF(B174&lt;'Умови та класичний графік'!$J$14,SUM(M175:V175),"")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графік'!$J$14,XIRR($G$36:G175,$C$36:C175,0),"")</f>
        <v>0.2424682275390625</v>
      </c>
      <c r="X175" s="42"/>
      <c r="Y175" s="35"/>
    </row>
    <row r="176" spans="2:25" x14ac:dyDescent="0.2">
      <c r="B176" s="25">
        <v>140</v>
      </c>
      <c r="C176" s="36">
        <f>IF(B175&lt;'Умови та класичний графік'!$J$14,EDATE(C175,1),"")</f>
        <v>48458</v>
      </c>
      <c r="D176" s="36">
        <f>IF(B175&lt;'Умови та класичний графік'!$J$14,C175,"")</f>
        <v>48427</v>
      </c>
      <c r="E176" s="26">
        <f>IF(B175&lt;'Умови та класичний графік'!$J$14,C176-1,"")</f>
        <v>48457</v>
      </c>
      <c r="F176" s="37">
        <f>IF(B175&lt;'Умови та класичний графік'!$J$14,E176-D176+1,"")</f>
        <v>31</v>
      </c>
      <c r="G176" s="86">
        <f>IF(B175&lt;'Умови та класичний графік'!$J$14,J176+K176+L176,"")</f>
        <v>118511.9863013697</v>
      </c>
      <c r="H176" s="87"/>
      <c r="I176" s="32">
        <f>IF(B175&lt;'Умови та класичний графік'!$J$14,I175-J176,"")</f>
        <v>4166666.6666666591</v>
      </c>
      <c r="J176" s="32">
        <f>IF(B175&lt;'Умови та класичний графік'!$J$14,J175,"")</f>
        <v>41666.666666666664</v>
      </c>
      <c r="K176" s="32">
        <f>IF(B175&lt;'Умови та класичний графік'!$J$14,((I175*'Умови та класичний графік'!$J$22)/365)*F176,"")</f>
        <v>76845.319634703046</v>
      </c>
      <c r="L176" s="30">
        <f>IF(B175&lt;'Умови та класичний графік'!$J$14,SUM(M176:V176),"")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графік'!$J$14,XIRR($G$36:G176,$C$36:C176,0),"")</f>
        <v>0.24283575683593756</v>
      </c>
      <c r="X176" s="42"/>
      <c r="Y176" s="35"/>
    </row>
    <row r="177" spans="2:25" x14ac:dyDescent="0.2">
      <c r="B177" s="25">
        <v>141</v>
      </c>
      <c r="C177" s="36">
        <f>IF(B176&lt;'Умови та класичний графік'!$J$14,EDATE(C176,1),"")</f>
        <v>48488</v>
      </c>
      <c r="D177" s="36">
        <f>IF(B176&lt;'Умови та класичний графік'!$J$14,C176,"")</f>
        <v>48458</v>
      </c>
      <c r="E177" s="26">
        <f>IF(B176&lt;'Умови та класичний графік'!$J$14,C177-1,"")</f>
        <v>48487</v>
      </c>
      <c r="F177" s="37">
        <f>IF(B176&lt;'Умови та класичний графік'!$J$14,E177-D177+1,"")</f>
        <v>30</v>
      </c>
      <c r="G177" s="86">
        <f>IF(B176&lt;'Умови та класичний графік'!$J$14,J177+K177+L177,"")</f>
        <v>115296.80365296791</v>
      </c>
      <c r="H177" s="87"/>
      <c r="I177" s="32">
        <f>IF(B176&lt;'Умови та класичний графік'!$J$14,I176-J177,"")</f>
        <v>4124999.9999999925</v>
      </c>
      <c r="J177" s="32">
        <f>IF(B176&lt;'Умови та класичний графік'!$J$14,J176,"")</f>
        <v>41666.666666666664</v>
      </c>
      <c r="K177" s="32">
        <f>IF(B176&lt;'Умови та класичний графік'!$J$14,((I176*'Умови та класичний графік'!$J$22)/365)*F177,"")</f>
        <v>73630.136986301237</v>
      </c>
      <c r="L177" s="30">
        <f>IF(B176&lt;'Умови та класичний графік'!$J$14,SUM(M177:V177),"")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графік'!$J$14,XIRR($G$36:G177,$C$36:C177,0),"")</f>
        <v>0.24318526855468753</v>
      </c>
      <c r="X177" s="42"/>
      <c r="Y177" s="35"/>
    </row>
    <row r="178" spans="2:25" x14ac:dyDescent="0.2">
      <c r="B178" s="25">
        <v>142</v>
      </c>
      <c r="C178" s="36">
        <f>IF(B177&lt;'Умови та класичний графік'!$J$14,EDATE(C177,1),"")</f>
        <v>48519</v>
      </c>
      <c r="D178" s="36">
        <f>IF(B177&lt;'Умови та класичний графік'!$J$14,C177,"")</f>
        <v>48488</v>
      </c>
      <c r="E178" s="26">
        <f>IF(B177&lt;'Умови та класичний графік'!$J$14,C178-1,"")</f>
        <v>48518</v>
      </c>
      <c r="F178" s="37">
        <f>IF(B177&lt;'Умови та класичний графік'!$J$14,E178-D178+1,"")</f>
        <v>31</v>
      </c>
      <c r="G178" s="86">
        <f>IF(B177&lt;'Умови та класичний графік'!$J$14,J178+K178+L178,"")</f>
        <v>116990.29680365283</v>
      </c>
      <c r="H178" s="87"/>
      <c r="I178" s="32">
        <f>IF(B177&lt;'Умови та класичний графік'!$J$14,I177-J178,"")</f>
        <v>4083333.333333326</v>
      </c>
      <c r="J178" s="32">
        <f>IF(B177&lt;'Умови та класичний графік'!$J$14,J177,"")</f>
        <v>41666.666666666664</v>
      </c>
      <c r="K178" s="32">
        <f>IF(B177&lt;'Умови та класичний графік'!$J$14,((I177*'Умови та класичний графік'!$J$22)/365)*F178,"")</f>
        <v>75323.630136986176</v>
      </c>
      <c r="L178" s="30">
        <f>IF(B177&lt;'Умови та класичний графік'!$J$14,SUM(M178:V178),"")</f>
        <v>0</v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>
        <f>IF(B177&lt;'Умови та класичний графік'!$J$14,XIRR($G$36:G178,$C$36:C178,0),"")</f>
        <v>0.24353175292968754</v>
      </c>
      <c r="X178" s="42"/>
      <c r="Y178" s="35"/>
    </row>
    <row r="179" spans="2:25" x14ac:dyDescent="0.2">
      <c r="B179" s="25">
        <v>143</v>
      </c>
      <c r="C179" s="36">
        <f>IF(B178&lt;'Умови та класичний графік'!$J$14,EDATE(C178,1),"")</f>
        <v>48549</v>
      </c>
      <c r="D179" s="36">
        <f>IF(B178&lt;'Умови та класичний графік'!$J$14,C178,"")</f>
        <v>48519</v>
      </c>
      <c r="E179" s="26">
        <f>IF(B178&lt;'Умови та класичний графік'!$J$14,C179-1,"")</f>
        <v>48548</v>
      </c>
      <c r="F179" s="37">
        <f>IF(B178&lt;'Умови та класичний графік'!$J$14,E179-D179+1,"")</f>
        <v>30</v>
      </c>
      <c r="G179" s="86">
        <f>IF(B178&lt;'Умови та класичний графік'!$J$14,J179+K179+L179,"")</f>
        <v>113824.20091324189</v>
      </c>
      <c r="H179" s="87"/>
      <c r="I179" s="32">
        <f>IF(B178&lt;'Умови та класичний графік'!$J$14,I178-J179,"")</f>
        <v>4041666.6666666595</v>
      </c>
      <c r="J179" s="32">
        <f>IF(B178&lt;'Умови та класичний графік'!$J$14,J178,"")</f>
        <v>41666.666666666664</v>
      </c>
      <c r="K179" s="32">
        <f>IF(B178&lt;'Умови та класичний графік'!$J$14,((I178*'Умови та класичний графік'!$J$22)/365)*F179,"")</f>
        <v>72157.534246575218</v>
      </c>
      <c r="L179" s="30">
        <f>IF(B178&lt;'Умови та класичний графік'!$J$14,SUM(M179:V179),"")</f>
        <v>0</v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>
        <f>IF(B178&lt;'Умови та класичний графік'!$J$14,XIRR($G$36:G179,$C$36:C179,0),"")</f>
        <v>0.24386133300781254</v>
      </c>
      <c r="X179" s="42"/>
      <c r="Y179" s="35"/>
    </row>
    <row r="180" spans="2:25" x14ac:dyDescent="0.2">
      <c r="B180" s="25">
        <v>144</v>
      </c>
      <c r="C180" s="36">
        <f>IF(B179&lt;'Умови та класичний графік'!$J$14,EDATE(C179,1),"")</f>
        <v>48580</v>
      </c>
      <c r="D180" s="36">
        <f>IF(B179&lt;'Умови та класичний графік'!$J$14,C179,"")</f>
        <v>48549</v>
      </c>
      <c r="E180" s="26">
        <f>IF(B179&lt;'Умови та класичний графік'!$J$14,C180-1,"")</f>
        <v>48579</v>
      </c>
      <c r="F180" s="37">
        <f>IF(B179&lt;'Умови та класичний графік'!$J$14,E180-D180+1,"")</f>
        <v>31</v>
      </c>
      <c r="G180" s="86">
        <f>IF(B179&lt;'Умови та класичний графік'!$J$14,J180+K180+L180,"")</f>
        <v>167968.6073059359</v>
      </c>
      <c r="H180" s="87"/>
      <c r="I180" s="32">
        <f>IF(B179&lt;'Умови та класичний графік'!$J$14,I179-J180,"")</f>
        <v>3999999.999999993</v>
      </c>
      <c r="J180" s="32">
        <f>IF(B179&lt;'Умови та класичний графік'!$J$14,J179,"")</f>
        <v>41666.666666666664</v>
      </c>
      <c r="K180" s="32">
        <f>IF(B179&lt;'Умови та класичний графік'!$J$14,((I179*'Умови та класичний графік'!$J$22)/365)*F180,"")</f>
        <v>73801.940639269276</v>
      </c>
      <c r="L180" s="30">
        <f>IF(B179&lt;'Умови та класичний графік'!$J$14,SUM(M180:V180),"")</f>
        <v>52499.999999999978</v>
      </c>
      <c r="M180" s="38"/>
      <c r="N180" s="39"/>
      <c r="O180" s="39"/>
      <c r="P180" s="32"/>
      <c r="Q180" s="40"/>
      <c r="R180" s="40"/>
      <c r="S180" s="41"/>
      <c r="T180" s="41"/>
      <c r="U180" s="33">
        <f>IF(B179&lt;'Умови та класичний графік'!$J$14,('Умови та класичний графік'!$J$15*$N$20)+(I180*$N$21),"")</f>
        <v>52499.999999999978</v>
      </c>
      <c r="V180" s="41"/>
      <c r="W180" s="43">
        <f>IF(B179&lt;'Умови та класичний графік'!$J$14,XIRR($G$36:G180,$C$36:C180,0),"")</f>
        <v>0.24433608886718755</v>
      </c>
      <c r="X180" s="42"/>
      <c r="Y180" s="35"/>
    </row>
    <row r="181" spans="2:25" x14ac:dyDescent="0.2">
      <c r="B181" s="25">
        <v>145</v>
      </c>
      <c r="C181" s="36">
        <f>IF(B180&lt;'Умови та класичний графік'!$J$14,EDATE(C180,1),"")</f>
        <v>48611</v>
      </c>
      <c r="D181" s="36">
        <f>IF(B180&lt;'Умови та класичний графік'!$J$14,C180,"")</f>
        <v>48580</v>
      </c>
      <c r="E181" s="26">
        <f>IF(B180&lt;'Умови та класичний графік'!$J$14,C181-1,"")</f>
        <v>48610</v>
      </c>
      <c r="F181" s="37">
        <f>IF(B180&lt;'Умови та класичний графік'!$J$14,E181-D181+1,"")</f>
        <v>31</v>
      </c>
      <c r="G181" s="86">
        <f>IF(B180&lt;'Умови та класичний графік'!$J$14,J181+K181+L181,"")</f>
        <v>114707.76255707748</v>
      </c>
      <c r="H181" s="87"/>
      <c r="I181" s="32">
        <f>IF(B180&lt;'Умови та класичний графік'!$J$14,I180-J181,"")</f>
        <v>3958333.3333333265</v>
      </c>
      <c r="J181" s="32">
        <f>IF(B180&lt;'Умови та класичний графік'!$J$14,J180,"")</f>
        <v>41666.666666666664</v>
      </c>
      <c r="K181" s="32">
        <f>IF(B180&lt;'Умови та класичний графік'!$J$14,((I180*'Умови та класичний графік'!$J$22)/365)*F181,"")</f>
        <v>73041.095890410827</v>
      </c>
      <c r="L181" s="30">
        <f>IF(B180&lt;'Умови та класичний графік'!$J$14,SUM(M181:V181),"")</f>
        <v>0</v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>
        <f>IF(B180&lt;'Умови та класичний графік'!$J$14,XIRR($G$36:G181,$C$36:C181,0),"")</f>
        <v>0.2446525634765625</v>
      </c>
      <c r="X181" s="42"/>
      <c r="Y181" s="35"/>
    </row>
    <row r="182" spans="2:25" x14ac:dyDescent="0.2">
      <c r="B182" s="25">
        <v>146</v>
      </c>
      <c r="C182" s="36">
        <f>IF(B181&lt;'Умови та класичний графік'!$J$14,EDATE(C181,1),"")</f>
        <v>48639</v>
      </c>
      <c r="D182" s="36">
        <f>IF(B181&lt;'Умови та класичний графік'!$J$14,C181,"")</f>
        <v>48611</v>
      </c>
      <c r="E182" s="26">
        <f>IF(B181&lt;'Умови та класичний графік'!$J$14,C182-1,"")</f>
        <v>48638</v>
      </c>
      <c r="F182" s="37">
        <f>IF(B181&lt;'Умови та класичний графік'!$J$14,E182-D182+1,"")</f>
        <v>28</v>
      </c>
      <c r="G182" s="86">
        <f>IF(B181&lt;'Умови та класичний графік'!$J$14,J182+K182+L182,"")</f>
        <v>106952.05479452043</v>
      </c>
      <c r="H182" s="87"/>
      <c r="I182" s="32">
        <f>IF(B181&lt;'Умови та класичний графік'!$J$14,I181-J182,"")</f>
        <v>3916666.66666666</v>
      </c>
      <c r="J182" s="32">
        <f>IF(B181&lt;'Умови та класичний графік'!$J$14,J181,"")</f>
        <v>41666.666666666664</v>
      </c>
      <c r="K182" s="32">
        <f>IF(B181&lt;'Умови та класичний графік'!$J$14,((I181*'Умови та класичний графік'!$J$22)/365)*F182,"")</f>
        <v>65285.388127853766</v>
      </c>
      <c r="L182" s="30">
        <f>IF(B181&lt;'Умови та класичний графік'!$J$14,SUM(M182:V182),"")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графік'!$J$14,XIRR($G$36:G182,$C$36:C182,0),"")</f>
        <v>0.24494148925781251</v>
      </c>
      <c r="X182" s="42"/>
      <c r="Y182" s="35"/>
    </row>
    <row r="183" spans="2:25" x14ac:dyDescent="0.2">
      <c r="B183" s="25">
        <v>147</v>
      </c>
      <c r="C183" s="36">
        <f>IF(B182&lt;'Умови та класичний графік'!$J$14,EDATE(C182,1),"")</f>
        <v>48670</v>
      </c>
      <c r="D183" s="36">
        <f>IF(B182&lt;'Умови та класичний графік'!$J$14,C182,"")</f>
        <v>48639</v>
      </c>
      <c r="E183" s="26">
        <f>IF(B182&lt;'Умови та класичний графік'!$J$14,C183-1,"")</f>
        <v>48669</v>
      </c>
      <c r="F183" s="37">
        <f>IF(B182&lt;'Умови та класичний графік'!$J$14,E183-D183+1,"")</f>
        <v>31</v>
      </c>
      <c r="G183" s="86">
        <f>IF(B182&lt;'Умови та класичний графік'!$J$14,J183+K183+L183,"")</f>
        <v>113186.07305936061</v>
      </c>
      <c r="H183" s="87"/>
      <c r="I183" s="32">
        <f>IF(B182&lt;'Умови та класичний графік'!$J$14,I182-J183,"")</f>
        <v>3874999.9999999935</v>
      </c>
      <c r="J183" s="32">
        <f>IF(B182&lt;'Умови та класичний графік'!$J$14,J182,"")</f>
        <v>41666.666666666664</v>
      </c>
      <c r="K183" s="32">
        <f>IF(B182&lt;'Умови та класичний графік'!$J$14,((I182*'Умови та класичний графік'!$J$22)/365)*F183,"")</f>
        <v>71519.406392693942</v>
      </c>
      <c r="L183" s="30">
        <f>IF(B182&lt;'Умови та класичний графік'!$J$14,SUM(M183:V183),"")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графік'!$J$14,XIRR($G$36:G183,$C$36:C183,0),"")</f>
        <v>0.24524036621093759</v>
      </c>
      <c r="X183" s="42"/>
      <c r="Y183" s="35"/>
    </row>
    <row r="184" spans="2:25" x14ac:dyDescent="0.2">
      <c r="B184" s="25">
        <v>148</v>
      </c>
      <c r="C184" s="36">
        <f>IF(B183&lt;'Умови та класичний графік'!$J$14,EDATE(C183,1),"")</f>
        <v>48700</v>
      </c>
      <c r="D184" s="36">
        <f>IF(B183&lt;'Умови та класичний графік'!$J$14,C183,"")</f>
        <v>48670</v>
      </c>
      <c r="E184" s="26">
        <f>IF(B183&lt;'Умови та класичний графік'!$J$14,C184-1,"")</f>
        <v>48699</v>
      </c>
      <c r="F184" s="37">
        <f>IF(B183&lt;'Умови та класичний графік'!$J$14,E184-D184+1,"")</f>
        <v>30</v>
      </c>
      <c r="G184" s="86">
        <f>IF(B183&lt;'Умови та класичний графік'!$J$14,J184+K184+L184,"")</f>
        <v>110142.69406392681</v>
      </c>
      <c r="H184" s="87"/>
      <c r="I184" s="32">
        <f>IF(B183&lt;'Умови та класичний графік'!$J$14,I183-J184,"")</f>
        <v>3833333.333333327</v>
      </c>
      <c r="J184" s="32">
        <f>IF(B183&lt;'Умови та класичний графік'!$J$14,J183,"")</f>
        <v>41666.666666666664</v>
      </c>
      <c r="K184" s="32">
        <f>IF(B183&lt;'Умови та класичний графік'!$J$14,((I183*'Умови та класичний графік'!$J$22)/365)*F184,"")</f>
        <v>68476.027397260157</v>
      </c>
      <c r="L184" s="30">
        <f>IF(B183&lt;'Умови та класичний графік'!$J$14,SUM(M184:V184),"")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графік'!$J$14,XIRR($G$36:G184,$C$36:C184,0),"")</f>
        <v>0.24552479980468755</v>
      </c>
      <c r="X184" s="42"/>
      <c r="Y184" s="35"/>
    </row>
    <row r="185" spans="2:25" x14ac:dyDescent="0.2">
      <c r="B185" s="25">
        <v>149</v>
      </c>
      <c r="C185" s="36">
        <f>IF(B184&lt;'Умови та класичний графік'!$J$14,EDATE(C184,1),"")</f>
        <v>48731</v>
      </c>
      <c r="D185" s="36">
        <f>IF(B184&lt;'Умови та класичний графік'!$J$14,C184,"")</f>
        <v>48700</v>
      </c>
      <c r="E185" s="26">
        <f>IF(B184&lt;'Умови та класичний графік'!$J$14,C185-1,"")</f>
        <v>48730</v>
      </c>
      <c r="F185" s="37">
        <f>IF(B184&lt;'Умови та класичний графік'!$J$14,E185-D185+1,"")</f>
        <v>31</v>
      </c>
      <c r="G185" s="86">
        <f>IF(B184&lt;'Умови та класичний графік'!$J$14,J185+K185+L185,"")</f>
        <v>111664.38356164371</v>
      </c>
      <c r="H185" s="87"/>
      <c r="I185" s="32">
        <f>IF(B184&lt;'Умови та класичний графік'!$J$14,I184-J185,"")</f>
        <v>3791666.6666666605</v>
      </c>
      <c r="J185" s="32">
        <f>IF(B184&lt;'Умови та класичний графік'!$J$14,J184,"")</f>
        <v>41666.666666666664</v>
      </c>
      <c r="K185" s="32">
        <f>IF(B184&lt;'Умови та класичний графік'!$J$14,((I184*'Умови та класичний графік'!$J$22)/365)*F185,"")</f>
        <v>69997.716894977042</v>
      </c>
      <c r="L185" s="30">
        <f>IF(B184&lt;'Умови та класичний графік'!$J$14,SUM(M185:V185),"")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графік'!$J$14,XIRR($G$36:G185,$C$36:C185,0),"")</f>
        <v>0.24580668457031246</v>
      </c>
      <c r="X185" s="42"/>
      <c r="Y185" s="35"/>
    </row>
    <row r="186" spans="2:25" x14ac:dyDescent="0.2">
      <c r="B186" s="25">
        <v>150</v>
      </c>
      <c r="C186" s="36">
        <f>IF(B185&lt;'Умови та класичний графік'!$J$14,EDATE(C185,1),"")</f>
        <v>48761</v>
      </c>
      <c r="D186" s="36">
        <f>IF(B185&lt;'Умови та класичний графік'!$J$14,C185,"")</f>
        <v>48731</v>
      </c>
      <c r="E186" s="26">
        <f>IF(B185&lt;'Умови та класичний графік'!$J$14,C186-1,"")</f>
        <v>48760</v>
      </c>
      <c r="F186" s="37">
        <f>IF(B185&lt;'Умови та класичний графік'!$J$14,E186-D186+1,"")</f>
        <v>30</v>
      </c>
      <c r="G186" s="86">
        <f>IF(B185&lt;'Умови та класичний графік'!$J$14,J186+K186+L186,"")</f>
        <v>108670.0913242008</v>
      </c>
      <c r="H186" s="87"/>
      <c r="I186" s="32">
        <f>IF(B185&lt;'Умови та класичний графік'!$J$14,I185-J186,"")</f>
        <v>3749999.9999999939</v>
      </c>
      <c r="J186" s="32">
        <f>IF(B185&lt;'Умови та класичний графік'!$J$14,J185,"")</f>
        <v>41666.666666666664</v>
      </c>
      <c r="K186" s="32">
        <f>IF(B185&lt;'Умови та класичний графік'!$J$14,((I185*'Умови та класичний графік'!$J$22)/365)*F186,"")</f>
        <v>67003.424657534139</v>
      </c>
      <c r="L186" s="30">
        <f>IF(B185&lt;'Умови та класичний графік'!$J$14,SUM(M186:V186),"")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графік'!$J$14,XIRR($G$36:G186,$C$36:C186,0),"")</f>
        <v>0.24607500488281253</v>
      </c>
      <c r="X186" s="42"/>
      <c r="Y186" s="35"/>
    </row>
    <row r="187" spans="2:25" x14ac:dyDescent="0.2">
      <c r="B187" s="25">
        <v>151</v>
      </c>
      <c r="C187" s="36">
        <f>IF(B186&lt;'Умови та класичний графік'!$J$14,EDATE(C186,1),"")</f>
        <v>48792</v>
      </c>
      <c r="D187" s="36">
        <f>IF(B186&lt;'Умови та класичний графік'!$J$14,C186,"")</f>
        <v>48761</v>
      </c>
      <c r="E187" s="26">
        <f>IF(B186&lt;'Умови та класичний графік'!$J$14,C187-1,"")</f>
        <v>48791</v>
      </c>
      <c r="F187" s="37">
        <f>IF(B186&lt;'Умови та класичний графік'!$J$14,E187-D187+1,"")</f>
        <v>31</v>
      </c>
      <c r="G187" s="86">
        <f>IF(B186&lt;'Умови та класичний графік'!$J$14,J187+K187+L187,"")</f>
        <v>110142.69406392681</v>
      </c>
      <c r="H187" s="87"/>
      <c r="I187" s="32">
        <f>IF(B186&lt;'Умови та класичний графік'!$J$14,I186-J187,"")</f>
        <v>3708333.3333333274</v>
      </c>
      <c r="J187" s="32">
        <f>IF(B186&lt;'Умови та класичний графік'!$J$14,J186,"")</f>
        <v>41666.666666666664</v>
      </c>
      <c r="K187" s="32">
        <f>IF(B186&lt;'Умови та класичний графік'!$J$14,((I186*'Умови та класичний графік'!$J$22)/365)*F187,"")</f>
        <v>68476.027397260157</v>
      </c>
      <c r="L187" s="30">
        <f>IF(B186&lt;'Умови та класичний графік'!$J$14,SUM(M187:V187),"")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графік'!$J$14,XIRR($G$36:G187,$C$36:C187,0),"")</f>
        <v>0.24634088378906249</v>
      </c>
      <c r="X187" s="42"/>
      <c r="Y187" s="35"/>
    </row>
    <row r="188" spans="2:25" x14ac:dyDescent="0.2">
      <c r="B188" s="25">
        <v>152</v>
      </c>
      <c r="C188" s="36">
        <f>IF(B187&lt;'Умови та класичний графік'!$J$14,EDATE(C187,1),"")</f>
        <v>48823</v>
      </c>
      <c r="D188" s="36">
        <f>IF(B187&lt;'Умови та класичний графік'!$J$14,C187,"")</f>
        <v>48792</v>
      </c>
      <c r="E188" s="26">
        <f>IF(B187&lt;'Умови та класичний графік'!$J$14,C188-1,"")</f>
        <v>48822</v>
      </c>
      <c r="F188" s="37">
        <f>IF(B187&lt;'Умови та класичний графік'!$J$14,E188-D188+1,"")</f>
        <v>31</v>
      </c>
      <c r="G188" s="86">
        <f>IF(B187&lt;'Умови та класичний графік'!$J$14,J188+K188+L188,"")</f>
        <v>109381.84931506839</v>
      </c>
      <c r="H188" s="87"/>
      <c r="I188" s="32">
        <f>IF(B187&lt;'Умови та класичний графік'!$J$14,I187-J188,"")</f>
        <v>3666666.6666666609</v>
      </c>
      <c r="J188" s="32">
        <f>IF(B187&lt;'Умови та класичний графік'!$J$14,J187,"")</f>
        <v>41666.666666666664</v>
      </c>
      <c r="K188" s="32">
        <f>IF(B187&lt;'Умови та класичний графік'!$J$14,((I187*'Умови та класичний графік'!$J$22)/365)*F188,"")</f>
        <v>67715.182648401722</v>
      </c>
      <c r="L188" s="30">
        <f>IF(B187&lt;'Умови та класичний графік'!$J$14,SUM(M188:V188),"")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графік'!$J$14,XIRR($G$36:G188,$C$36:C188,0),"")</f>
        <v>0.24659901855468752</v>
      </c>
      <c r="X188" s="42"/>
      <c r="Y188" s="35"/>
    </row>
    <row r="189" spans="2:25" x14ac:dyDescent="0.2">
      <c r="B189" s="25">
        <v>153</v>
      </c>
      <c r="C189" s="36">
        <f>IF(B188&lt;'Умови та класичний графік'!$J$14,EDATE(C188,1),"")</f>
        <v>48853</v>
      </c>
      <c r="D189" s="36">
        <f>IF(B188&lt;'Умови та класичний графік'!$J$14,C188,"")</f>
        <v>48823</v>
      </c>
      <c r="E189" s="26">
        <f>IF(B188&lt;'Умови та класичний графік'!$J$14,C189-1,"")</f>
        <v>48852</v>
      </c>
      <c r="F189" s="37">
        <f>IF(B188&lt;'Умови та класичний графік'!$J$14,E189-D189+1,"")</f>
        <v>30</v>
      </c>
      <c r="G189" s="86">
        <f>IF(B188&lt;'Умови та класичний графік'!$J$14,J189+K189+L189,"")</f>
        <v>106461.18721461177</v>
      </c>
      <c r="H189" s="87"/>
      <c r="I189" s="32">
        <f>IF(B188&lt;'Умови та класичний графік'!$J$14,I188-J189,"")</f>
        <v>3624999.9999999944</v>
      </c>
      <c r="J189" s="32">
        <f>IF(B188&lt;'Умови та класичний графік'!$J$14,J188,"")</f>
        <v>41666.666666666664</v>
      </c>
      <c r="K189" s="32">
        <f>IF(B188&lt;'Умови та класичний графік'!$J$14,((I188*'Умови та класичний графік'!$J$22)/365)*F189,"")</f>
        <v>64794.520547945111</v>
      </c>
      <c r="L189" s="30">
        <f>IF(B188&lt;'Умови та класичний графік'!$J$14,SUM(M189:V189),"")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графік'!$J$14,XIRR($G$36:G189,$C$36:C189,0),"")</f>
        <v>0.24684482910156252</v>
      </c>
      <c r="X189" s="42"/>
      <c r="Y189" s="35"/>
    </row>
    <row r="190" spans="2:25" x14ac:dyDescent="0.2">
      <c r="B190" s="25">
        <v>154</v>
      </c>
      <c r="C190" s="36">
        <f>IF(B189&lt;'Умови та класичний графік'!$J$14,EDATE(C189,1),"")</f>
        <v>48884</v>
      </c>
      <c r="D190" s="36">
        <f>IF(B189&lt;'Умови та класичний графік'!$J$14,C189,"")</f>
        <v>48853</v>
      </c>
      <c r="E190" s="26">
        <f>IF(B189&lt;'Умови та класичний графік'!$J$14,C190-1,"")</f>
        <v>48883</v>
      </c>
      <c r="F190" s="37">
        <f>IF(B189&lt;'Умови та класичний графік'!$J$14,E190-D190+1,"")</f>
        <v>31</v>
      </c>
      <c r="G190" s="86">
        <f>IF(B189&lt;'Умови та класичний графік'!$J$14,J190+K190+L190,"")</f>
        <v>107860.15981735149</v>
      </c>
      <c r="H190" s="87"/>
      <c r="I190" s="32">
        <f>IF(B189&lt;'Умови та класичний графік'!$J$14,I189-J190,"")</f>
        <v>3583333.3333333279</v>
      </c>
      <c r="J190" s="32">
        <f>IF(B189&lt;'Умови та класичний графік'!$J$14,J189,"")</f>
        <v>41666.666666666664</v>
      </c>
      <c r="K190" s="32">
        <f>IF(B189&lt;'Умови та класичний графік'!$J$14,((I189*'Умови та класичний графік'!$J$22)/365)*F190,"")</f>
        <v>66193.493150684837</v>
      </c>
      <c r="L190" s="30">
        <f>IF(B189&lt;'Умови та класичний графік'!$J$14,SUM(M190:V190),"")</f>
        <v>0</v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>
        <f>IF(B189&lt;'Умови та класичний графік'!$J$14,XIRR($G$36:G190,$C$36:C190,0),"")</f>
        <v>0.24708833496093757</v>
      </c>
      <c r="X190" s="42"/>
      <c r="Y190" s="35"/>
    </row>
    <row r="191" spans="2:25" x14ac:dyDescent="0.2">
      <c r="B191" s="25">
        <v>155</v>
      </c>
      <c r="C191" s="36">
        <f>IF(B190&lt;'Умови та класичний графік'!$J$14,EDATE(C190,1),"")</f>
        <v>48914</v>
      </c>
      <c r="D191" s="36">
        <f>IF(B190&lt;'Умови та класичний графік'!$J$14,C190,"")</f>
        <v>48884</v>
      </c>
      <c r="E191" s="26">
        <f>IF(B190&lt;'Умови та класичний графік'!$J$14,C191-1,"")</f>
        <v>48913</v>
      </c>
      <c r="F191" s="37">
        <f>IF(B190&lt;'Умови та класичний графік'!$J$14,E191-D191+1,"")</f>
        <v>30</v>
      </c>
      <c r="G191" s="86">
        <f>IF(B190&lt;'Умови та класичний графік'!$J$14,J191+K191+L191,"")</f>
        <v>104988.58447488575</v>
      </c>
      <c r="H191" s="87"/>
      <c r="I191" s="32">
        <f>IF(B190&lt;'Умови та класичний графік'!$J$14,I190-J191,"")</f>
        <v>3541666.6666666614</v>
      </c>
      <c r="J191" s="32">
        <f>IF(B190&lt;'Умови та класичний графік'!$J$14,J190,"")</f>
        <v>41666.666666666664</v>
      </c>
      <c r="K191" s="32">
        <f>IF(B190&lt;'Умови та класичний графік'!$J$14,((I190*'Умови та класичний графік'!$J$22)/365)*F191,"")</f>
        <v>63321.917808219077</v>
      </c>
      <c r="L191" s="30">
        <f>IF(B190&lt;'Умови та класичний графік'!$J$14,SUM(M191:V191),"")</f>
        <v>0</v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>
        <f>IF(B190&lt;'Умови та класичний графік'!$J$14,XIRR($G$36:G191,$C$36:C191,0),"")</f>
        <v>0.24732024902343752</v>
      </c>
      <c r="X191" s="42"/>
      <c r="Y191" s="35"/>
    </row>
    <row r="192" spans="2:25" x14ac:dyDescent="0.2">
      <c r="B192" s="25">
        <v>156</v>
      </c>
      <c r="C192" s="36">
        <f>IF(B191&lt;'Умови та класичний графік'!$J$14,EDATE(C191,1),"")</f>
        <v>48945</v>
      </c>
      <c r="D192" s="36">
        <f>IF(B191&lt;'Умови та класичний графік'!$J$14,C191,"")</f>
        <v>48914</v>
      </c>
      <c r="E192" s="26">
        <f>IF(B191&lt;'Умови та класичний графік'!$J$14,C192-1,"")</f>
        <v>48944</v>
      </c>
      <c r="F192" s="37">
        <f>IF(B191&lt;'Умови та класичний графік'!$J$14,E192-D192+1,"")</f>
        <v>31</v>
      </c>
      <c r="G192" s="86">
        <f>IF(B191&lt;'Умови та класичний графік'!$J$14,J192+K192+L192,"")</f>
        <v>157338.47031963459</v>
      </c>
      <c r="H192" s="87"/>
      <c r="I192" s="32">
        <f>IF(B191&lt;'Умови та класичний графік'!$J$14,I191-J192,"")</f>
        <v>3499999.9999999949</v>
      </c>
      <c r="J192" s="32">
        <f>IF(B191&lt;'Умови та класичний графік'!$J$14,J191,"")</f>
        <v>41666.666666666664</v>
      </c>
      <c r="K192" s="32">
        <f>IF(B191&lt;'Умови та класичний графік'!$J$14,((I191*'Умови та класичний графік'!$J$22)/365)*F192,"")</f>
        <v>64671.803652967938</v>
      </c>
      <c r="L192" s="30">
        <f>IF(B191&lt;'Умови та класичний графік'!$J$14,SUM(M192:V192),"")</f>
        <v>50999.999999999985</v>
      </c>
      <c r="M192" s="38"/>
      <c r="N192" s="39"/>
      <c r="O192" s="39"/>
      <c r="P192" s="32"/>
      <c r="Q192" s="40"/>
      <c r="R192" s="40"/>
      <c r="S192" s="41"/>
      <c r="T192" s="41"/>
      <c r="U192" s="33">
        <f>IF(B191&lt;'Умови та класичний графік'!$J$14,('Умови та класичний графік'!$J$15*$N$20)+(I192*$N$21),"")</f>
        <v>50999.999999999985</v>
      </c>
      <c r="V192" s="41"/>
      <c r="W192" s="43">
        <f>IF(B191&lt;'Умови та класичний графік'!$J$14,XIRR($G$36:G192,$C$36:C192,0),"")</f>
        <v>0.24765985839843752</v>
      </c>
      <c r="X192" s="42"/>
      <c r="Y192" s="35"/>
    </row>
    <row r="193" spans="2:25" x14ac:dyDescent="0.2">
      <c r="B193" s="25">
        <v>157</v>
      </c>
      <c r="C193" s="36">
        <f>IF(B192&lt;'Умови та класичний графік'!$J$14,EDATE(C192,1),"")</f>
        <v>48976</v>
      </c>
      <c r="D193" s="36">
        <f>IF(B192&lt;'Умови та класичний графік'!$J$14,C192,"")</f>
        <v>48945</v>
      </c>
      <c r="E193" s="26">
        <f>IF(B192&lt;'Умови та класичний графік'!$J$14,C193-1,"")</f>
        <v>48975</v>
      </c>
      <c r="F193" s="37">
        <f>IF(B192&lt;'Умови та класичний графік'!$J$14,E193-D193+1,"")</f>
        <v>31</v>
      </c>
      <c r="G193" s="86">
        <f>IF(B192&lt;'Умови та класичний графік'!$J$14,J193+K193+L193,"")</f>
        <v>105577.62557077616</v>
      </c>
      <c r="H193" s="87"/>
      <c r="I193" s="32">
        <f>IF(B192&lt;'Умови та класичний графік'!$J$14,I192-J193,"")</f>
        <v>3458333.3333333284</v>
      </c>
      <c r="J193" s="32">
        <f>IF(B192&lt;'Умови та класичний графік'!$J$14,J192,"")</f>
        <v>41666.666666666664</v>
      </c>
      <c r="K193" s="32">
        <f>IF(B192&lt;'Умови та класичний графік'!$J$14,((I192*'Умови та класичний графік'!$J$22)/365)*F193,"")</f>
        <v>63910.958904109495</v>
      </c>
      <c r="L193" s="30">
        <f>IF(B192&lt;'Умови та класичний графік'!$J$14,SUM(M193:V193),"")</f>
        <v>0</v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>
        <f>IF(B192&lt;'Умови та класичний графік'!$J$14,XIRR($G$36:G193,$C$36:C193,0),"")</f>
        <v>0.2478825244140625</v>
      </c>
      <c r="X193" s="42"/>
      <c r="Y193" s="35"/>
    </row>
    <row r="194" spans="2:25" x14ac:dyDescent="0.2">
      <c r="B194" s="25">
        <v>158</v>
      </c>
      <c r="C194" s="36">
        <f>IF(B193&lt;'Умови та класичний графік'!$J$14,EDATE(C193,1),"")</f>
        <v>49004</v>
      </c>
      <c r="D194" s="36">
        <f>IF(B193&lt;'Умови та класичний графік'!$J$14,C193,"")</f>
        <v>48976</v>
      </c>
      <c r="E194" s="26">
        <f>IF(B193&lt;'Умови та класичний графік'!$J$14,C194-1,"")</f>
        <v>49003</v>
      </c>
      <c r="F194" s="37">
        <f>IF(B193&lt;'Умови та класичний графік'!$J$14,E194-D194+1,"")</f>
        <v>28</v>
      </c>
      <c r="G194" s="86">
        <f>IF(B193&lt;'Умови та класичний графік'!$J$14,J194+K194+L194,"")</f>
        <v>98705.479452054715</v>
      </c>
      <c r="H194" s="87"/>
      <c r="I194" s="32">
        <f>IF(B193&lt;'Умови та класичний графік'!$J$14,I193-J194,"")</f>
        <v>3416666.6666666619</v>
      </c>
      <c r="J194" s="32">
        <f>IF(B193&lt;'Умови та класичний графік'!$J$14,J193,"")</f>
        <v>41666.666666666664</v>
      </c>
      <c r="K194" s="32">
        <f>IF(B193&lt;'Умови та класичний графік'!$J$14,((I193*'Умови та класичний графік'!$J$22)/365)*F194,"")</f>
        <v>57038.812785388043</v>
      </c>
      <c r="L194" s="30">
        <f>IF(B193&lt;'Умови та класичний графік'!$J$14,SUM(M194:V194),"")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графік'!$J$14,XIRR($G$36:G194,$C$36:C194,0),"")</f>
        <v>0.24808650878906247</v>
      </c>
      <c r="X194" s="42"/>
      <c r="Y194" s="35"/>
    </row>
    <row r="195" spans="2:25" x14ac:dyDescent="0.2">
      <c r="B195" s="25">
        <v>159</v>
      </c>
      <c r="C195" s="36">
        <f>IF(B194&lt;'Умови та класичний графік'!$J$14,EDATE(C194,1),"")</f>
        <v>49035</v>
      </c>
      <c r="D195" s="36">
        <f>IF(B194&lt;'Умови та класичний графік'!$J$14,C194,"")</f>
        <v>49004</v>
      </c>
      <c r="E195" s="26">
        <f>IF(B194&lt;'Умови та класичний графік'!$J$14,C195-1,"")</f>
        <v>49034</v>
      </c>
      <c r="F195" s="37">
        <f>IF(B194&lt;'Умови та класичний графік'!$J$14,E195-D195+1,"")</f>
        <v>31</v>
      </c>
      <c r="G195" s="86">
        <f>IF(B194&lt;'Умови та класичний графік'!$J$14,J195+K195+L195,"")</f>
        <v>104055.93607305927</v>
      </c>
      <c r="H195" s="87"/>
      <c r="I195" s="32">
        <f>IF(B194&lt;'Умови та класичний графік'!$J$14,I194-J195,"")</f>
        <v>3374999.9999999953</v>
      </c>
      <c r="J195" s="32">
        <f>IF(B194&lt;'Умови та класичний графік'!$J$14,J194,"")</f>
        <v>41666.666666666664</v>
      </c>
      <c r="K195" s="32">
        <f>IF(B194&lt;'Умови та класичний графік'!$J$14,((I194*'Умови та класичний графік'!$J$22)/365)*F195,"")</f>
        <v>62389.269406392603</v>
      </c>
      <c r="L195" s="30">
        <f>IF(B194&lt;'Умови та класичний графік'!$J$14,SUM(M195:V195),"")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графік'!$J$14,XIRR($G$36:G195,$C$36:C195,0),"")</f>
        <v>0.24829686035156251</v>
      </c>
      <c r="X195" s="42"/>
      <c r="Y195" s="35"/>
    </row>
    <row r="196" spans="2:25" x14ac:dyDescent="0.2">
      <c r="B196" s="25">
        <v>160</v>
      </c>
      <c r="C196" s="36">
        <f>IF(B195&lt;'Умови та класичний графік'!$J$14,EDATE(C195,1),"")</f>
        <v>49065</v>
      </c>
      <c r="D196" s="36">
        <f>IF(B195&lt;'Умови та класичний графік'!$J$14,C195,"")</f>
        <v>49035</v>
      </c>
      <c r="E196" s="26">
        <f>IF(B195&lt;'Умови та класичний графік'!$J$14,C196-1,"")</f>
        <v>49064</v>
      </c>
      <c r="F196" s="37">
        <f>IF(B195&lt;'Умови та класичний графік'!$J$14,E196-D196+1,"")</f>
        <v>30</v>
      </c>
      <c r="G196" s="86">
        <f>IF(B195&lt;'Умови та класичний графік'!$J$14,J196+K196+L196,"")</f>
        <v>101307.07762557069</v>
      </c>
      <c r="H196" s="87"/>
      <c r="I196" s="32">
        <f>IF(B195&lt;'Умови та класичний графік'!$J$14,I195-J196,"")</f>
        <v>3333333.3333333288</v>
      </c>
      <c r="J196" s="32">
        <f>IF(B195&lt;'Умови та класичний графік'!$J$14,J195,"")</f>
        <v>41666.666666666664</v>
      </c>
      <c r="K196" s="32">
        <f>IF(B195&lt;'Умови та класичний графік'!$J$14,((I195*'Умови та класичний графік'!$J$22)/365)*F196,"")</f>
        <v>59640.410958904024</v>
      </c>
      <c r="L196" s="30">
        <f>IF(B195&lt;'Умови та класичний графік'!$J$14,SUM(M196:V196),"")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графік'!$J$14,XIRR($G$36:G196,$C$36:C196,0),"")</f>
        <v>0.24849729980468754</v>
      </c>
      <c r="X196" s="42"/>
      <c r="Y196" s="35"/>
    </row>
    <row r="197" spans="2:25" x14ac:dyDescent="0.2">
      <c r="B197" s="25">
        <v>161</v>
      </c>
      <c r="C197" s="36">
        <f>IF(B196&lt;'Умови та класичний графік'!$J$14,EDATE(C196,1),"")</f>
        <v>49096</v>
      </c>
      <c r="D197" s="36">
        <f>IF(B196&lt;'Умови та класичний графік'!$J$14,C196,"")</f>
        <v>49065</v>
      </c>
      <c r="E197" s="26">
        <f>IF(B196&lt;'Умови та класичний графік'!$J$14,C197-1,"")</f>
        <v>49095</v>
      </c>
      <c r="F197" s="37">
        <f>IF(B196&lt;'Умови та класичний графік'!$J$14,E197-D197+1,"")</f>
        <v>31</v>
      </c>
      <c r="G197" s="86">
        <f>IF(B196&lt;'Умови та класичний графік'!$J$14,J197+K197+L197,"")</f>
        <v>102534.24657534237</v>
      </c>
      <c r="H197" s="87"/>
      <c r="I197" s="32">
        <f>IF(B196&lt;'Умови та класичний графік'!$J$14,I196-J197,"")</f>
        <v>3291666.6666666623</v>
      </c>
      <c r="J197" s="32">
        <f>IF(B196&lt;'Умови та класичний графік'!$J$14,J196,"")</f>
        <v>41666.666666666664</v>
      </c>
      <c r="K197" s="32">
        <f>IF(B196&lt;'Умови та класичний графік'!$J$14,((I196*'Умови та класичний графік'!$J$22)/365)*F197,"")</f>
        <v>60867.579908675711</v>
      </c>
      <c r="L197" s="30">
        <f>IF(B196&lt;'Умови та класичний графік'!$J$14,SUM(M197:V197),"")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графік'!$J$14,XIRR($G$36:G197,$C$36:C197,0),"")</f>
        <v>0.2486957470703125</v>
      </c>
      <c r="X197" s="42"/>
      <c r="Y197" s="35"/>
    </row>
    <row r="198" spans="2:25" x14ac:dyDescent="0.2">
      <c r="B198" s="25">
        <v>162</v>
      </c>
      <c r="C198" s="36">
        <f>IF(B197&lt;'Умови та класичний графік'!$J$14,EDATE(C197,1),"")</f>
        <v>49126</v>
      </c>
      <c r="D198" s="36">
        <f>IF(B197&lt;'Умови та класичний графік'!$J$14,C197,"")</f>
        <v>49096</v>
      </c>
      <c r="E198" s="26">
        <f>IF(B197&lt;'Умови та класичний графік'!$J$14,C198-1,"")</f>
        <v>49125</v>
      </c>
      <c r="F198" s="37">
        <f>IF(B197&lt;'Умови та класичний графік'!$J$14,E198-D198+1,"")</f>
        <v>30</v>
      </c>
      <c r="G198" s="86">
        <f>IF(B197&lt;'Умови та класичний графік'!$J$14,J198+K198+L198,"")</f>
        <v>99834.474885844684</v>
      </c>
      <c r="H198" s="87"/>
      <c r="I198" s="32">
        <f>IF(B197&lt;'Умови та класичний графік'!$J$14,I197-J198,"")</f>
        <v>3249999.9999999958</v>
      </c>
      <c r="J198" s="32">
        <f>IF(B197&lt;'Умови та класичний графік'!$J$14,J197,"")</f>
        <v>41666.666666666664</v>
      </c>
      <c r="K198" s="32">
        <f>IF(B197&lt;'Умови та класичний графік'!$J$14,((I197*'Умови та класичний графік'!$J$22)/365)*F198,"")</f>
        <v>58167.808219178012</v>
      </c>
      <c r="L198" s="30">
        <f>IF(B197&lt;'Умови та класичний графік'!$J$14,SUM(M198:V198),"")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графік'!$J$14,XIRR($G$36:G198,$C$36:C198,0),"")</f>
        <v>0.24888488769531253</v>
      </c>
      <c r="X198" s="42"/>
      <c r="Y198" s="35"/>
    </row>
    <row r="199" spans="2:25" x14ac:dyDescent="0.2">
      <c r="B199" s="25">
        <v>163</v>
      </c>
      <c r="C199" s="36">
        <f>IF(B198&lt;'Умови та класичний графік'!$J$14,EDATE(C198,1),"")</f>
        <v>49157</v>
      </c>
      <c r="D199" s="36">
        <f>IF(B198&lt;'Умови та класичний графік'!$J$14,C198,"")</f>
        <v>49126</v>
      </c>
      <c r="E199" s="26">
        <f>IF(B198&lt;'Умови та класичний графік'!$J$14,C199-1,"")</f>
        <v>49156</v>
      </c>
      <c r="F199" s="37">
        <f>IF(B198&lt;'Умови та класичний графік'!$J$14,E199-D199+1,"")</f>
        <v>31</v>
      </c>
      <c r="G199" s="86">
        <f>IF(B198&lt;'Умови та класичний графік'!$J$14,J199+K199+L199,"")</f>
        <v>101012.55707762549</v>
      </c>
      <c r="H199" s="87"/>
      <c r="I199" s="32">
        <f>IF(B198&lt;'Умови та класичний графік'!$J$14,I198-J199,"")</f>
        <v>3208333.3333333293</v>
      </c>
      <c r="J199" s="32">
        <f>IF(B198&lt;'Умови та класичний графік'!$J$14,J198,"")</f>
        <v>41666.666666666664</v>
      </c>
      <c r="K199" s="32">
        <f>IF(B198&lt;'Умови та класичний графік'!$J$14,((I198*'Умови та класичний графік'!$J$22)/365)*F199,"")</f>
        <v>59345.890410958826</v>
      </c>
      <c r="L199" s="30">
        <f>IF(B198&lt;'Умови та класичний графік'!$J$14,SUM(M199:V199),"")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графік'!$J$14,XIRR($G$36:G199,$C$36:C199,0),"")</f>
        <v>0.24907210449218753</v>
      </c>
      <c r="X199" s="42"/>
      <c r="Y199" s="35"/>
    </row>
    <row r="200" spans="2:25" x14ac:dyDescent="0.2">
      <c r="B200" s="25">
        <v>164</v>
      </c>
      <c r="C200" s="36">
        <f>IF(B199&lt;'Умови та класичний графік'!$J$14,EDATE(C199,1),"")</f>
        <v>49188</v>
      </c>
      <c r="D200" s="36">
        <f>IF(B199&lt;'Умови та класичний графік'!$J$14,C199,"")</f>
        <v>49157</v>
      </c>
      <c r="E200" s="26">
        <f>IF(B199&lt;'Умови та класичний графік'!$J$14,C200-1,"")</f>
        <v>49187</v>
      </c>
      <c r="F200" s="37">
        <f>IF(B199&lt;'Умови та класичний графік'!$J$14,E200-D200+1,"")</f>
        <v>31</v>
      </c>
      <c r="G200" s="86">
        <f>IF(B199&lt;'Умови та класичний графік'!$J$14,J200+K200+L200,"")</f>
        <v>100251.71232876705</v>
      </c>
      <c r="H200" s="87"/>
      <c r="I200" s="32">
        <f>IF(B199&lt;'Умови та класичний графік'!$J$14,I199-J200,"")</f>
        <v>3166666.6666666628</v>
      </c>
      <c r="J200" s="32">
        <f>IF(B199&lt;'Умови та класичний графік'!$J$14,J199,"")</f>
        <v>41666.666666666664</v>
      </c>
      <c r="K200" s="32">
        <f>IF(B199&lt;'Умови та класичний графік'!$J$14,((I199*'Умови та класичний графік'!$J$22)/365)*F200,"")</f>
        <v>58585.045662100383</v>
      </c>
      <c r="L200" s="30">
        <f>IF(B199&lt;'Умови та класичний графік'!$J$14,SUM(M200:V200),"")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графік'!$J$14,XIRR($G$36:G200,$C$36:C200,0),"")</f>
        <v>0.24925389160156247</v>
      </c>
      <c r="X200" s="42"/>
      <c r="Y200" s="35"/>
    </row>
    <row r="201" spans="2:25" x14ac:dyDescent="0.2">
      <c r="B201" s="25">
        <v>165</v>
      </c>
      <c r="C201" s="36">
        <f>IF(B200&lt;'Умови та класичний графік'!$J$14,EDATE(C200,1),"")</f>
        <v>49218</v>
      </c>
      <c r="D201" s="36">
        <f>IF(B200&lt;'Умови та класичний графік'!$J$14,C200,"")</f>
        <v>49188</v>
      </c>
      <c r="E201" s="26">
        <f>IF(B200&lt;'Умови та класичний графік'!$J$14,C201-1,"")</f>
        <v>49217</v>
      </c>
      <c r="F201" s="37">
        <f>IF(B200&lt;'Умови та класичний графік'!$J$14,E201-D201+1,"")</f>
        <v>30</v>
      </c>
      <c r="G201" s="86">
        <f>IF(B200&lt;'Умови та класичний графік'!$J$14,J201+K201+L201,"")</f>
        <v>97625.570776255627</v>
      </c>
      <c r="H201" s="87"/>
      <c r="I201" s="32">
        <f>IF(B200&lt;'Умови та класичний графік'!$J$14,I200-J201,"")</f>
        <v>3124999.9999999963</v>
      </c>
      <c r="J201" s="32">
        <f>IF(B200&lt;'Умови та класичний графік'!$J$14,J200,"")</f>
        <v>41666.666666666664</v>
      </c>
      <c r="K201" s="32">
        <f>IF(B200&lt;'Умови та класичний графік'!$J$14,((I200*'Умови та класичний графік'!$J$22)/365)*F201,"")</f>
        <v>55958.90410958897</v>
      </c>
      <c r="L201" s="30">
        <f>IF(B200&lt;'Умови та класичний графік'!$J$14,SUM(M201:V201),"")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графік'!$J$14,XIRR($G$36:G201,$C$36:C201,0),"")</f>
        <v>0.2494272021484375</v>
      </c>
      <c r="X201" s="42"/>
      <c r="Y201" s="35"/>
    </row>
    <row r="202" spans="2:25" x14ac:dyDescent="0.2">
      <c r="B202" s="25">
        <v>166</v>
      </c>
      <c r="C202" s="36">
        <f>IF(B201&lt;'Умови та класичний графік'!$J$14,EDATE(C201,1),"")</f>
        <v>49249</v>
      </c>
      <c r="D202" s="36">
        <f>IF(B201&lt;'Умови та класичний графік'!$J$14,C201,"")</f>
        <v>49218</v>
      </c>
      <c r="E202" s="26">
        <f>IF(B201&lt;'Умови та класичний графік'!$J$14,C202-1,"")</f>
        <v>49248</v>
      </c>
      <c r="F202" s="37">
        <f>IF(B201&lt;'Умови та класичний графік'!$J$14,E202-D202+1,"")</f>
        <v>31</v>
      </c>
      <c r="G202" s="86">
        <f>IF(B201&lt;'Умови та класичний графік'!$J$14,J202+K202+L202,"")</f>
        <v>98730.022831050155</v>
      </c>
      <c r="H202" s="87"/>
      <c r="I202" s="32">
        <f>IF(B201&lt;'Умови та класичний графік'!$J$14,I201-J202,"")</f>
        <v>3083333.3333333298</v>
      </c>
      <c r="J202" s="32">
        <f>IF(B201&lt;'Умови та класичний графік'!$J$14,J201,"")</f>
        <v>41666.666666666664</v>
      </c>
      <c r="K202" s="32">
        <f>IF(B201&lt;'Умови та класичний графік'!$J$14,((I201*'Умови та класичний графік'!$J$22)/365)*F202,"")</f>
        <v>57063.356164383491</v>
      </c>
      <c r="L202" s="30">
        <f>IF(B201&lt;'Умови та класичний графік'!$J$14,SUM(M202:V202),"")</f>
        <v>0</v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>
        <f>IF(B201&lt;'Умови та класичний графік'!$J$14,XIRR($G$36:G202,$C$36:C202,0),"")</f>
        <v>0.24959869628906245</v>
      </c>
      <c r="X202" s="42"/>
      <c r="Y202" s="35"/>
    </row>
    <row r="203" spans="2:25" x14ac:dyDescent="0.2">
      <c r="B203" s="25">
        <v>167</v>
      </c>
      <c r="C203" s="36">
        <f>IF(B202&lt;'Умови та класичний графік'!$J$14,EDATE(C202,1),"")</f>
        <v>49279</v>
      </c>
      <c r="D203" s="36">
        <f>IF(B202&lt;'Умови та класичний графік'!$J$14,C202,"")</f>
        <v>49249</v>
      </c>
      <c r="E203" s="26">
        <f>IF(B202&lt;'Умови та класичний графік'!$J$14,C203-1,"")</f>
        <v>49278</v>
      </c>
      <c r="F203" s="37">
        <f>IF(B202&lt;'Умови та класичний графік'!$J$14,E203-D203+1,"")</f>
        <v>30</v>
      </c>
      <c r="G203" s="86">
        <f>IF(B202&lt;'Умови та класичний графік'!$J$14,J203+K203+L203,"")</f>
        <v>96152.968036529623</v>
      </c>
      <c r="H203" s="87"/>
      <c r="I203" s="32">
        <f>IF(B202&lt;'Умови та класичний графік'!$J$14,I202-J203,"")</f>
        <v>3041666.6666666633</v>
      </c>
      <c r="J203" s="32">
        <f>IF(B202&lt;'Умови та класичний графік'!$J$14,J202,"")</f>
        <v>41666.666666666664</v>
      </c>
      <c r="K203" s="32">
        <f>IF(B202&lt;'Умови та класичний графік'!$J$14,((I202*'Умови та класичний графік'!$J$22)/365)*F203,"")</f>
        <v>54486.301369862958</v>
      </c>
      <c r="L203" s="30">
        <f>IF(B202&lt;'Умови та класичний графік'!$J$14,SUM(M203:V203),"")</f>
        <v>0</v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>
        <f>IF(B202&lt;'Умови та класичний графік'!$J$14,XIRR($G$36:G203,$C$36:C203,0),"")</f>
        <v>0.24976222167968753</v>
      </c>
      <c r="X203" s="42"/>
      <c r="Y203" s="35"/>
    </row>
    <row r="204" spans="2:25" x14ac:dyDescent="0.2">
      <c r="B204" s="25">
        <v>168</v>
      </c>
      <c r="C204" s="36">
        <f>IF(B203&lt;'Умови та класичний графік'!$J$14,EDATE(C203,1),"")</f>
        <v>49310</v>
      </c>
      <c r="D204" s="36">
        <f>IF(B203&lt;'Умови та класичний графік'!$J$14,C203,"")</f>
        <v>49279</v>
      </c>
      <c r="E204" s="26">
        <f>IF(B203&lt;'Умови та класичний графік'!$J$14,C204-1,"")</f>
        <v>49309</v>
      </c>
      <c r="F204" s="37">
        <f>IF(B203&lt;'Умови та класичний графік'!$J$14,E204-D204+1,"")</f>
        <v>31</v>
      </c>
      <c r="G204" s="86">
        <f>IF(B203&lt;'Умови та класичний графік'!$J$14,J204+K204+L204,"")</f>
        <v>146708.33333333326</v>
      </c>
      <c r="H204" s="87"/>
      <c r="I204" s="32">
        <f>IF(B203&lt;'Умови та класичний графік'!$J$14,I203-J204,"")</f>
        <v>2999999.9999999967</v>
      </c>
      <c r="J204" s="32">
        <f>IF(B203&lt;'Умови та класичний графік'!$J$14,J203,"")</f>
        <v>41666.666666666664</v>
      </c>
      <c r="K204" s="32">
        <f>IF(B203&lt;'Умови та класичний графік'!$J$14,((I203*'Умови та класичний графік'!$J$22)/365)*F204,"")</f>
        <v>55541.666666666599</v>
      </c>
      <c r="L204" s="30">
        <f>IF(B203&lt;'Умови та класичний графік'!$J$14,SUM(M204:V204),"")</f>
        <v>49499.999999999993</v>
      </c>
      <c r="M204" s="38"/>
      <c r="N204" s="39"/>
      <c r="O204" s="39"/>
      <c r="P204" s="32"/>
      <c r="Q204" s="40"/>
      <c r="R204" s="40"/>
      <c r="S204" s="41"/>
      <c r="T204" s="41"/>
      <c r="U204" s="33">
        <f>IF(B203&lt;'Умови та класичний графік'!$J$14,('Умови та класичний графік'!$J$15*$N$20)+(I204*$N$21),"")</f>
        <v>49499.999999999993</v>
      </c>
      <c r="V204" s="41"/>
      <c r="W204" s="43">
        <f>IF(B203&lt;'Умови та класичний графік'!$J$14,XIRR($G$36:G204,$C$36:C204,0),"")</f>
        <v>0.25000621582031257</v>
      </c>
      <c r="X204" s="42"/>
      <c r="Y204" s="35"/>
    </row>
    <row r="205" spans="2:25" x14ac:dyDescent="0.2">
      <c r="B205" s="25">
        <v>169</v>
      </c>
      <c r="C205" s="36">
        <f>IF(B204&lt;'Умови та класичний графік'!$J$14,EDATE(C204,1),"")</f>
        <v>49341</v>
      </c>
      <c r="D205" s="36">
        <f>IF(B204&lt;'Умови та класичний графік'!$J$14,C204,"")</f>
        <v>49310</v>
      </c>
      <c r="E205" s="26">
        <f>IF(B204&lt;'Умови та класичний графік'!$J$14,C205-1,"")</f>
        <v>49340</v>
      </c>
      <c r="F205" s="37">
        <f>IF(B204&lt;'Умови та класичний графік'!$J$14,E205-D205+1,"")</f>
        <v>31</v>
      </c>
      <c r="G205" s="86">
        <f>IF(B204&lt;'Умови та класичний графік'!$J$14,J205+K205+L205,"")</f>
        <v>96447.488584474821</v>
      </c>
      <c r="H205" s="87"/>
      <c r="I205" s="32">
        <f>IF(B204&lt;'Умови та класичний графік'!$J$14,I204-J205,"")</f>
        <v>2958333.3333333302</v>
      </c>
      <c r="J205" s="32">
        <f>IF(B204&lt;'Умови та класичний графік'!$J$14,J204,"")</f>
        <v>41666.666666666664</v>
      </c>
      <c r="K205" s="32">
        <f>IF(B204&lt;'Умови та класичний графік'!$J$14,((I204*'Умови та класичний графік'!$J$22)/365)*F205,"")</f>
        <v>54780.821917808156</v>
      </c>
      <c r="L205" s="30">
        <f>IF(B204&lt;'Умови та класичний графік'!$J$14,SUM(M205:V205),"")</f>
        <v>0</v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>
        <f>IF(B204&lt;'Умови та класичний графік'!$J$14,XIRR($G$36:G205,$C$36:C205,0),"")</f>
        <v>0.25016308105468754</v>
      </c>
      <c r="X205" s="42"/>
      <c r="Y205" s="35"/>
    </row>
    <row r="206" spans="2:25" x14ac:dyDescent="0.2">
      <c r="B206" s="25">
        <v>170</v>
      </c>
      <c r="C206" s="36">
        <f>IF(B205&lt;'Умови та класичний графік'!$J$14,EDATE(C205,1),"")</f>
        <v>49369</v>
      </c>
      <c r="D206" s="36">
        <f>IF(B205&lt;'Умови та класичний графік'!$J$14,C205,"")</f>
        <v>49341</v>
      </c>
      <c r="E206" s="26">
        <f>IF(B205&lt;'Умови та класичний графік'!$J$14,C206-1,"")</f>
        <v>49368</v>
      </c>
      <c r="F206" s="37">
        <f>IF(B205&lt;'Умови та класичний графік'!$J$14,E206-D206+1,"")</f>
        <v>28</v>
      </c>
      <c r="G206" s="86">
        <f>IF(B205&lt;'Умови та класичний графік'!$J$14,J206+K206+L206,"")</f>
        <v>90458.904109588999</v>
      </c>
      <c r="H206" s="87"/>
      <c r="I206" s="32">
        <f>IF(B205&lt;'Умови та класичний графік'!$J$14,I205-J206,"")</f>
        <v>2916666.6666666637</v>
      </c>
      <c r="J206" s="32">
        <f>IF(B205&lt;'Умови та класичний графік'!$J$14,J205,"")</f>
        <v>41666.666666666664</v>
      </c>
      <c r="K206" s="32">
        <f>IF(B205&lt;'Умови та класичний графік'!$J$14,((I205*'Умови та класичний графік'!$J$22)/365)*F206,"")</f>
        <v>48792.237442922327</v>
      </c>
      <c r="L206" s="30">
        <f>IF(B205&lt;'Умови та класичний графік'!$J$14,SUM(M206:V206),"")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графік'!$J$14,XIRR($G$36:G206,$C$36:C206,0),"")</f>
        <v>0.2503073291015625</v>
      </c>
      <c r="X206" s="42"/>
      <c r="Y206" s="35"/>
    </row>
    <row r="207" spans="2:25" x14ac:dyDescent="0.2">
      <c r="B207" s="25">
        <v>171</v>
      </c>
      <c r="C207" s="36">
        <f>IF(B206&lt;'Умови та класичний графік'!$J$14,EDATE(C206,1),"")</f>
        <v>49400</v>
      </c>
      <c r="D207" s="36">
        <f>IF(B206&lt;'Умови та класичний графік'!$J$14,C206,"")</f>
        <v>49369</v>
      </c>
      <c r="E207" s="26">
        <f>IF(B206&lt;'Умови та класичний графік'!$J$14,C207-1,"")</f>
        <v>49399</v>
      </c>
      <c r="F207" s="37">
        <f>IF(B206&lt;'Умови та класичний графік'!$J$14,E207-D207+1,"")</f>
        <v>31</v>
      </c>
      <c r="G207" s="86">
        <f>IF(B206&lt;'Умови та класичний графік'!$J$14,J207+K207+L207,"")</f>
        <v>94925.799086757936</v>
      </c>
      <c r="H207" s="87"/>
      <c r="I207" s="32">
        <f>IF(B206&lt;'Умови та класичний графік'!$J$14,I206-J207,"")</f>
        <v>2874999.9999999972</v>
      </c>
      <c r="J207" s="32">
        <f>IF(B206&lt;'Умови та класичний графік'!$J$14,J206,"")</f>
        <v>41666.666666666664</v>
      </c>
      <c r="K207" s="32">
        <f>IF(B206&lt;'Умови та класичний графік'!$J$14,((I206*'Умови та класичний графік'!$J$22)/365)*F207,"")</f>
        <v>53259.132420091264</v>
      </c>
      <c r="L207" s="30">
        <f>IF(B206&lt;'Умови та класичний графік'!$J$14,SUM(M207:V207),"")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графік'!$J$14,XIRR($G$36:G207,$C$36:C207,0),"")</f>
        <v>0.25045549316406246</v>
      </c>
      <c r="X207" s="42"/>
      <c r="Y207" s="35"/>
    </row>
    <row r="208" spans="2:25" x14ac:dyDescent="0.2">
      <c r="B208" s="25">
        <v>172</v>
      </c>
      <c r="C208" s="36">
        <f>IF(B207&lt;'Умови та класичний графік'!$J$14,EDATE(C207,1),"")</f>
        <v>49430</v>
      </c>
      <c r="D208" s="36">
        <f>IF(B207&lt;'Умови та класичний графік'!$J$14,C207,"")</f>
        <v>49400</v>
      </c>
      <c r="E208" s="26">
        <f>IF(B207&lt;'Умови та класичний графік'!$J$14,C208-1,"")</f>
        <v>49429</v>
      </c>
      <c r="F208" s="37">
        <f>IF(B207&lt;'Умови та класичний графік'!$J$14,E208-D208+1,"")</f>
        <v>30</v>
      </c>
      <c r="G208" s="86">
        <f>IF(B207&lt;'Умови та класичний графік'!$J$14,J208+K208+L208,"")</f>
        <v>92471.461187214562</v>
      </c>
      <c r="H208" s="87"/>
      <c r="I208" s="32">
        <f>IF(B207&lt;'Умови та класичний графік'!$J$14,I207-J208,"")</f>
        <v>2833333.3333333307</v>
      </c>
      <c r="J208" s="32">
        <f>IF(B207&lt;'Умови та класичний графік'!$J$14,J207,"")</f>
        <v>41666.666666666664</v>
      </c>
      <c r="K208" s="32">
        <f>IF(B207&lt;'Умови та класичний графік'!$J$14,((I207*'Умови та класичний графік'!$J$22)/365)*F208,"")</f>
        <v>50804.794520547897</v>
      </c>
      <c r="L208" s="30">
        <f>IF(B207&lt;'Умови та класичний графік'!$J$14,SUM(M208:V208),"")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графік'!$J$14,XIRR($G$36:G208,$C$36:C208,0),"")</f>
        <v>0.25059683105468755</v>
      </c>
      <c r="X208" s="42"/>
      <c r="Y208" s="35"/>
    </row>
    <row r="209" spans="2:25" x14ac:dyDescent="0.2">
      <c r="B209" s="25">
        <v>173</v>
      </c>
      <c r="C209" s="36">
        <f>IF(B208&lt;'Умови та класичний графік'!$J$14,EDATE(C208,1),"")</f>
        <v>49461</v>
      </c>
      <c r="D209" s="36">
        <f>IF(B208&lt;'Умови та класичний графік'!$J$14,C208,"")</f>
        <v>49430</v>
      </c>
      <c r="E209" s="26">
        <f>IF(B208&lt;'Умови та класичний графік'!$J$14,C209-1,"")</f>
        <v>49460</v>
      </c>
      <c r="F209" s="37">
        <f>IF(B208&lt;'Умови та класичний графік'!$J$14,E209-D209+1,"")</f>
        <v>31</v>
      </c>
      <c r="G209" s="86">
        <f>IF(B208&lt;'Умови та класичний графік'!$J$14,J209+K209+L209,"")</f>
        <v>93404.109589041036</v>
      </c>
      <c r="H209" s="87"/>
      <c r="I209" s="32">
        <f>IF(B208&lt;'Умови та класичний графік'!$J$14,I208-J209,"")</f>
        <v>2791666.6666666642</v>
      </c>
      <c r="J209" s="32">
        <f>IF(B208&lt;'Умови та класичний графік'!$J$14,J208,"")</f>
        <v>41666.666666666664</v>
      </c>
      <c r="K209" s="32">
        <f>IF(B208&lt;'Умови та класичний графік'!$J$14,((I208*'Умови та класичний графік'!$J$22)/365)*F209,"")</f>
        <v>51737.442922374372</v>
      </c>
      <c r="L209" s="30">
        <f>IF(B208&lt;'Умови та класичний графік'!$J$14,SUM(M209:V209),"")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графік'!$J$14,XIRR($G$36:G209,$C$36:C209,0),"")</f>
        <v>0.25073657714843745</v>
      </c>
      <c r="X209" s="42"/>
      <c r="Y209" s="35"/>
    </row>
    <row r="210" spans="2:25" x14ac:dyDescent="0.2">
      <c r="B210" s="25">
        <v>174</v>
      </c>
      <c r="C210" s="36">
        <f>IF(B209&lt;'Умови та класичний графік'!$J$14,EDATE(C209,1),"")</f>
        <v>49491</v>
      </c>
      <c r="D210" s="36">
        <f>IF(B209&lt;'Умови та класичний графік'!$J$14,C209,"")</f>
        <v>49461</v>
      </c>
      <c r="E210" s="26">
        <f>IF(B209&lt;'Умови та класичний графік'!$J$14,C210-1,"")</f>
        <v>49490</v>
      </c>
      <c r="F210" s="37">
        <f>IF(B209&lt;'Умови та класичний графік'!$J$14,E210-D210+1,"")</f>
        <v>30</v>
      </c>
      <c r="G210" s="86">
        <f>IF(B209&lt;'Умови та класичний графік'!$J$14,J210+K210+L210,"")</f>
        <v>90998.858447488543</v>
      </c>
      <c r="H210" s="87"/>
      <c r="I210" s="32">
        <f>IF(B209&lt;'Умови та класичний графік'!$J$14,I209-J210,"")</f>
        <v>2749999.9999999977</v>
      </c>
      <c r="J210" s="32">
        <f>IF(B209&lt;'Умови та класичний графік'!$J$14,J209,"")</f>
        <v>41666.666666666664</v>
      </c>
      <c r="K210" s="32">
        <f>IF(B209&lt;'Умови та класичний графік'!$J$14,((I209*'Умови та класичний графік'!$J$22)/365)*F210,"")</f>
        <v>49332.191780821871</v>
      </c>
      <c r="L210" s="30">
        <f>IF(B209&lt;'Умови та класичний графік'!$J$14,SUM(M210:V210),"")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графік'!$J$14,XIRR($G$36:G210,$C$36:C210,0),"")</f>
        <v>0.2508699267578125</v>
      </c>
      <c r="X210" s="42"/>
      <c r="Y210" s="35"/>
    </row>
    <row r="211" spans="2:25" x14ac:dyDescent="0.2">
      <c r="B211" s="25">
        <v>175</v>
      </c>
      <c r="C211" s="36">
        <f>IF(B210&lt;'Умови та класичний графік'!$J$14,EDATE(C210,1),"")</f>
        <v>49522</v>
      </c>
      <c r="D211" s="36">
        <f>IF(B210&lt;'Умови та класичний графік'!$J$14,C210,"")</f>
        <v>49491</v>
      </c>
      <c r="E211" s="26">
        <f>IF(B210&lt;'Умови та класичний графік'!$J$14,C211-1,"")</f>
        <v>49521</v>
      </c>
      <c r="F211" s="37">
        <f>IF(B210&lt;'Умови та класичний графік'!$J$14,E211-D211+1,"")</f>
        <v>31</v>
      </c>
      <c r="G211" s="86">
        <f>IF(B210&lt;'Умови та класичний графік'!$J$14,J211+K211+L211,"")</f>
        <v>91882.420091324166</v>
      </c>
      <c r="H211" s="87"/>
      <c r="I211" s="32">
        <f>IF(B210&lt;'Умови та класичний графік'!$J$14,I210-J211,"")</f>
        <v>2708333.3333333312</v>
      </c>
      <c r="J211" s="32">
        <f>IF(B210&lt;'Умови та класичний графік'!$J$14,J210,"")</f>
        <v>41666.666666666664</v>
      </c>
      <c r="K211" s="32">
        <f>IF(B210&lt;'Умови та класичний графік'!$J$14,((I210*'Умови та класичний графік'!$J$22)/365)*F211,"")</f>
        <v>50215.753424657494</v>
      </c>
      <c r="L211" s="30">
        <f>IF(B210&lt;'Умови та класичний графік'!$J$14,SUM(M211:V211),"")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графік'!$J$14,XIRR($G$36:G211,$C$36:C211,0),"")</f>
        <v>0.25100172363281259</v>
      </c>
      <c r="X211" s="42"/>
      <c r="Y211" s="35"/>
    </row>
    <row r="212" spans="2:25" x14ac:dyDescent="0.2">
      <c r="B212" s="25">
        <v>176</v>
      </c>
      <c r="C212" s="36">
        <f>IF(B211&lt;'Умови та класичний графік'!$J$14,EDATE(C211,1),"")</f>
        <v>49553</v>
      </c>
      <c r="D212" s="36">
        <f>IF(B211&lt;'Умови та класичний графік'!$J$14,C211,"")</f>
        <v>49522</v>
      </c>
      <c r="E212" s="26">
        <f>IF(B211&lt;'Умови та класичний графік'!$J$14,C212-1,"")</f>
        <v>49552</v>
      </c>
      <c r="F212" s="37">
        <f>IF(B211&lt;'Умови та класичний графік'!$J$14,E212-D212+1,"")</f>
        <v>31</v>
      </c>
      <c r="G212" s="86">
        <f>IF(B211&lt;'Умови та класичний графік'!$J$14,J212+K212+L212,"")</f>
        <v>91121.575342465716</v>
      </c>
      <c r="H212" s="87"/>
      <c r="I212" s="32">
        <f>IF(B211&lt;'Умови та класичний графік'!$J$14,I211-J212,"")</f>
        <v>2666666.6666666646</v>
      </c>
      <c r="J212" s="32">
        <f>IF(B211&lt;'Умови та класичний графік'!$J$14,J211,"")</f>
        <v>41666.666666666664</v>
      </c>
      <c r="K212" s="32">
        <f>IF(B211&lt;'Умови та класичний графік'!$J$14,((I211*'Умови та класичний графік'!$J$22)/365)*F212,"")</f>
        <v>49454.908675799044</v>
      </c>
      <c r="L212" s="30">
        <f>IF(B211&lt;'Умови та класичний графік'!$J$14,SUM(M212:V212),"")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графік'!$J$14,XIRR($G$36:G212,$C$36:C212,0),"")</f>
        <v>0.25112967285156251</v>
      </c>
      <c r="X212" s="42"/>
      <c r="Y212" s="35"/>
    </row>
    <row r="213" spans="2:25" x14ac:dyDescent="0.2">
      <c r="B213" s="25">
        <v>177</v>
      </c>
      <c r="C213" s="36">
        <f>IF(B212&lt;'Умови та класичний графік'!$J$14,EDATE(C212,1),"")</f>
        <v>49583</v>
      </c>
      <c r="D213" s="36">
        <f>IF(B212&lt;'Умови та класичний графік'!$J$14,C212,"")</f>
        <v>49553</v>
      </c>
      <c r="E213" s="26">
        <f>IF(B212&lt;'Умови та класичний графік'!$J$14,C213-1,"")</f>
        <v>49582</v>
      </c>
      <c r="F213" s="37">
        <f>IF(B212&lt;'Умови та класичний графік'!$J$14,E213-D213+1,"")</f>
        <v>30</v>
      </c>
      <c r="G213" s="86">
        <f>IF(B212&lt;'Умови та класичний графік'!$J$14,J213+K213+L213,"")</f>
        <v>88789.954337899515</v>
      </c>
      <c r="H213" s="87"/>
      <c r="I213" s="32">
        <f>IF(B212&lt;'Умови та класичний графік'!$J$14,I212-J213,"")</f>
        <v>2624999.9999999981</v>
      </c>
      <c r="J213" s="32">
        <f>IF(B212&lt;'Умови та класичний графік'!$J$14,J212,"")</f>
        <v>41666.666666666664</v>
      </c>
      <c r="K213" s="32">
        <f>IF(B212&lt;'Умови та класичний графік'!$J$14,((I212*'Умови та класичний графік'!$J$22)/365)*F213,"")</f>
        <v>47123.287671232843</v>
      </c>
      <c r="L213" s="30">
        <f>IF(B212&lt;'Умови та класичний графік'!$J$14,SUM(M213:V213),"")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графік'!$J$14,XIRR($G$36:G213,$C$36:C213,0),"")</f>
        <v>0.2512517919921875</v>
      </c>
      <c r="X213" s="42"/>
      <c r="Y213" s="35"/>
    </row>
    <row r="214" spans="2:25" x14ac:dyDescent="0.2">
      <c r="B214" s="25">
        <v>178</v>
      </c>
      <c r="C214" s="36">
        <f>IF(B213&lt;'Умови та класичний графік'!$J$14,EDATE(C213,1),"")</f>
        <v>49614</v>
      </c>
      <c r="D214" s="36">
        <f>IF(B213&lt;'Умови та класичний графік'!$J$14,C213,"")</f>
        <v>49583</v>
      </c>
      <c r="E214" s="26">
        <f>IF(B213&lt;'Умови та класичний графік'!$J$14,C214-1,"")</f>
        <v>49613</v>
      </c>
      <c r="F214" s="37">
        <f>IF(B213&lt;'Умови та класичний графік'!$J$14,E214-D214+1,"")</f>
        <v>31</v>
      </c>
      <c r="G214" s="86">
        <f>IF(B213&lt;'Умови та класичний графік'!$J$14,J214+K214+L214,"")</f>
        <v>89599.885844748816</v>
      </c>
      <c r="H214" s="87"/>
      <c r="I214" s="32">
        <f>IF(B213&lt;'Умови та класичний графік'!$J$14,I213-J214,"")</f>
        <v>2583333.3333333316</v>
      </c>
      <c r="J214" s="32">
        <f>IF(B213&lt;'Умови та класичний графік'!$J$14,J213,"")</f>
        <v>41666.666666666664</v>
      </c>
      <c r="K214" s="32">
        <f>IF(B213&lt;'Умови та класичний графік'!$J$14,((I213*'Умови та класичний графік'!$J$22)/365)*F214,"")</f>
        <v>47933.219178082152</v>
      </c>
      <c r="L214" s="30">
        <f>IF(B213&lt;'Умови та класичний графік'!$J$14,SUM(M214:V214),"")</f>
        <v>0</v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>
        <f>IF(B213&lt;'Умови та класичний графік'!$J$14,XIRR($G$36:G214,$C$36:C214,0),"")</f>
        <v>0.25137244628906252</v>
      </c>
      <c r="X214" s="42"/>
      <c r="Y214" s="35"/>
    </row>
    <row r="215" spans="2:25" x14ac:dyDescent="0.2">
      <c r="B215" s="25">
        <v>179</v>
      </c>
      <c r="C215" s="36">
        <f>IF(B214&lt;'Умови та класичний графік'!$J$14,EDATE(C214,1),"")</f>
        <v>49644</v>
      </c>
      <c r="D215" s="36">
        <f>IF(B214&lt;'Умови та класичний графік'!$J$14,C214,"")</f>
        <v>49614</v>
      </c>
      <c r="E215" s="26">
        <f>IF(B214&lt;'Умови та класичний графік'!$J$14,C215-1,"")</f>
        <v>49643</v>
      </c>
      <c r="F215" s="37">
        <f>IF(B214&lt;'Умови та класичний графік'!$J$14,E215-D215+1,"")</f>
        <v>30</v>
      </c>
      <c r="G215" s="86">
        <f>IF(B214&lt;'Умови та класичний графік'!$J$14,J215+K215+L215,"")</f>
        <v>87317.351598173482</v>
      </c>
      <c r="H215" s="87"/>
      <c r="I215" s="32">
        <f>IF(B214&lt;'Умови та класичний графік'!$J$14,I214-J215,"")</f>
        <v>2541666.6666666651</v>
      </c>
      <c r="J215" s="32">
        <f>IF(B214&lt;'Умови та класичний графік'!$J$14,J214,"")</f>
        <v>41666.666666666664</v>
      </c>
      <c r="K215" s="32">
        <f>IF(B214&lt;'Умови та класичний графік'!$J$14,((I214*'Умови та класичний графік'!$J$22)/365)*F215,"")</f>
        <v>45650.684931506818</v>
      </c>
      <c r="L215" s="30">
        <f>IF(B214&lt;'Умови та класичний графік'!$J$14,SUM(M215:V215),"")</f>
        <v>0</v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>
        <f>IF(B214&lt;'Умови та класичний графік'!$J$14,XIRR($G$36:G215,$C$36:C215,0),"")</f>
        <v>0.25148763183593748</v>
      </c>
      <c r="X215" s="42"/>
      <c r="Y215" s="35"/>
    </row>
    <row r="216" spans="2:25" x14ac:dyDescent="0.2">
      <c r="B216" s="25">
        <v>180</v>
      </c>
      <c r="C216" s="36">
        <f>IF(B215&lt;'Умови та класичний графік'!$J$14,EDATE(C215,1),"")</f>
        <v>49675</v>
      </c>
      <c r="D216" s="36">
        <f>IF(B215&lt;'Умови та класичний графік'!$J$14,C215,"")</f>
        <v>49644</v>
      </c>
      <c r="E216" s="26">
        <f>IF(B215&lt;'Умови та класичний графік'!$J$14,C216-1,"")</f>
        <v>49674</v>
      </c>
      <c r="F216" s="37">
        <f>IF(B215&lt;'Умови та класичний графік'!$J$14,E216-D216+1,"")</f>
        <v>31</v>
      </c>
      <c r="G216" s="86">
        <f>IF(B215&lt;'Умови та класичний графік'!$J$14,J216+K216+L216,"")</f>
        <v>136078.19634703195</v>
      </c>
      <c r="H216" s="87"/>
      <c r="I216" s="32">
        <f>IF(B215&lt;'Умови та класичний графік'!$J$14,I215-J216,"")</f>
        <v>2499999.9999999986</v>
      </c>
      <c r="J216" s="32">
        <f>IF(B215&lt;'Умови та класичний графік'!$J$14,J215,"")</f>
        <v>41666.666666666664</v>
      </c>
      <c r="K216" s="32">
        <f>IF(B215&lt;'Умови та класичний графік'!$J$14,((I215*'Умови та класичний графік'!$J$22)/365)*F216,"")</f>
        <v>46411.529680365275</v>
      </c>
      <c r="L216" s="30">
        <f>IF(B215&lt;'Умови та класичний графік'!$J$14,SUM(M216:V216),"")</f>
        <v>48000</v>
      </c>
      <c r="M216" s="38"/>
      <c r="N216" s="39"/>
      <c r="O216" s="39"/>
      <c r="P216" s="32"/>
      <c r="Q216" s="40"/>
      <c r="R216" s="40"/>
      <c r="S216" s="41"/>
      <c r="T216" s="41"/>
      <c r="U216" s="33">
        <f>IF(B215&lt;'Умови та класичний графік'!$J$14,('Умови та класичний графік'!$J$15*$N$20)+(I216*$N$21),"")</f>
        <v>48000</v>
      </c>
      <c r="V216" s="41"/>
      <c r="W216" s="43">
        <f>IF(B215&lt;'Умови та класичний графік'!$J$14,XIRR($G$36:G216,$C$36:C216,0),"")</f>
        <v>0.25166328613281252</v>
      </c>
      <c r="X216" s="42"/>
      <c r="Y216" s="35"/>
    </row>
    <row r="217" spans="2:25" x14ac:dyDescent="0.2">
      <c r="B217" s="25">
        <v>181</v>
      </c>
      <c r="C217" s="36">
        <f>IF(B216&lt;'Умови та класичний графік'!$J$14,EDATE(C216,1),"")</f>
        <v>49706</v>
      </c>
      <c r="D217" s="36">
        <f>IF(B216&lt;'Умови та класичний графік'!$J$14,C216,"")</f>
        <v>49675</v>
      </c>
      <c r="E217" s="26">
        <f>IF(B216&lt;'Умови та класичний графік'!$J$14,C217-1,"")</f>
        <v>49705</v>
      </c>
      <c r="F217" s="37">
        <f>IF(B216&lt;'Умови та класичний графік'!$J$14,E217-D217+1,"")</f>
        <v>31</v>
      </c>
      <c r="G217" s="86">
        <f>IF(B216&lt;'Умови та класичний графік'!$J$14,J217+K217+L217,"")</f>
        <v>87317.351598173482</v>
      </c>
      <c r="H217" s="87"/>
      <c r="I217" s="32">
        <f>IF(B216&lt;'Умови та класичний графік'!$J$14,I216-J217,"")</f>
        <v>2458333.3333333321</v>
      </c>
      <c r="J217" s="32">
        <f>IF(B216&lt;'Умови та класичний графік'!$J$14,J216,"")</f>
        <v>41666.666666666664</v>
      </c>
      <c r="K217" s="32">
        <f>IF(B216&lt;'Умови та класичний графік'!$J$14,((I216*'Умови та класичний графік'!$J$22)/365)*F217,"")</f>
        <v>45650.684931506818</v>
      </c>
      <c r="L217" s="30">
        <f>IF(B216&lt;'Умови та класичний графік'!$J$14,SUM(M217:V217),"")</f>
        <v>0</v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>
        <f>IF(B216&lt;'Умови та класичний графік'!$J$14,XIRR($G$36:G217,$C$36:C217,0),"")</f>
        <v>0.25177357910156251</v>
      </c>
      <c r="X217" s="42"/>
      <c r="Y217" s="35"/>
    </row>
    <row r="218" spans="2:25" x14ac:dyDescent="0.2">
      <c r="B218" s="25">
        <v>182</v>
      </c>
      <c r="C218" s="36">
        <f>IF(B217&lt;'Умови та класичний графік'!$J$14,EDATE(C217,1),"")</f>
        <v>49735</v>
      </c>
      <c r="D218" s="36">
        <f>IF(B217&lt;'Умови та класичний графік'!$J$14,C217,"")</f>
        <v>49706</v>
      </c>
      <c r="E218" s="26">
        <f>IF(B217&lt;'Умови та класичний графік'!$J$14,C218-1,"")</f>
        <v>49734</v>
      </c>
      <c r="F218" s="37">
        <f>IF(B217&lt;'Умови та класичний графік'!$J$14,E218-D218+1,"")</f>
        <v>29</v>
      </c>
      <c r="G218" s="86">
        <f>IF(B217&lt;'Умови та класичний графік'!$J$14,J218+K218+L218,"")</f>
        <v>83660.388127853861</v>
      </c>
      <c r="H218" s="87"/>
      <c r="I218" s="32">
        <f>IF(B217&lt;'Умови та класичний графік'!$J$14,I217-J218,"")</f>
        <v>2416666.6666666656</v>
      </c>
      <c r="J218" s="32">
        <f>IF(B217&lt;'Умови та класичний графік'!$J$14,J217,"")</f>
        <v>41666.666666666664</v>
      </c>
      <c r="K218" s="32">
        <f>IF(B217&lt;'Умови та класичний графік'!$J$14,((I217*'Умови та класичний графік'!$J$22)/365)*F218,"")</f>
        <v>41993.721461187197</v>
      </c>
      <c r="L218" s="30">
        <f>IF(B217&lt;'Умови та класичний графік'!$J$14,SUM(M218:V218),"")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графік'!$J$14,XIRR($G$36:G218,$C$36:C218,0),"")</f>
        <v>0.25187717285156253</v>
      </c>
      <c r="X218" s="42"/>
      <c r="Y218" s="35"/>
    </row>
    <row r="219" spans="2:25" x14ac:dyDescent="0.2">
      <c r="B219" s="25">
        <v>183</v>
      </c>
      <c r="C219" s="36">
        <f>IF(B218&lt;'Умови та класичний графік'!$J$14,EDATE(C218,1),"")</f>
        <v>49766</v>
      </c>
      <c r="D219" s="36">
        <f>IF(B218&lt;'Умови та класичний графік'!$J$14,C218,"")</f>
        <v>49735</v>
      </c>
      <c r="E219" s="26">
        <f>IF(B218&lt;'Умови та класичний графік'!$J$14,C219-1,"")</f>
        <v>49765</v>
      </c>
      <c r="F219" s="37">
        <f>IF(B218&lt;'Умови та класичний графік'!$J$14,E219-D219+1,"")</f>
        <v>31</v>
      </c>
      <c r="G219" s="86">
        <f>IF(B218&lt;'Умови та класичний графік'!$J$14,J219+K219+L219,"")</f>
        <v>85795.662100456597</v>
      </c>
      <c r="H219" s="87"/>
      <c r="I219" s="32">
        <f>IF(B218&lt;'Умови та класичний графік'!$J$14,I218-J219,"")</f>
        <v>2374999.9999999991</v>
      </c>
      <c r="J219" s="32">
        <f>IF(B218&lt;'Умови та класичний графік'!$J$14,J218,"")</f>
        <v>41666.666666666664</v>
      </c>
      <c r="K219" s="32">
        <f>IF(B218&lt;'Умови та класичний графік'!$J$14,((I218*'Умови та класичний графік'!$J$22)/365)*F219,"")</f>
        <v>44128.995433789933</v>
      </c>
      <c r="L219" s="30">
        <f>IF(B218&lt;'Умови та класичний графік'!$J$14,SUM(M219:V219),"")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графік'!$J$14,XIRR($G$36:G219,$C$36:C219,0),"")</f>
        <v>0.25198120605468755</v>
      </c>
      <c r="X219" s="42"/>
      <c r="Y219" s="35"/>
    </row>
    <row r="220" spans="2:25" x14ac:dyDescent="0.2">
      <c r="B220" s="25">
        <v>184</v>
      </c>
      <c r="C220" s="36">
        <f>IF(B219&lt;'Умови та класичний графік'!$J$14,EDATE(C219,1),"")</f>
        <v>49796</v>
      </c>
      <c r="D220" s="36">
        <f>IF(B219&lt;'Умови та класичний графік'!$J$14,C219,"")</f>
        <v>49766</v>
      </c>
      <c r="E220" s="26">
        <f>IF(B219&lt;'Умови та класичний графік'!$J$14,C220-1,"")</f>
        <v>49795</v>
      </c>
      <c r="F220" s="37">
        <f>IF(B219&lt;'Умови та класичний графік'!$J$14,E220-D220+1,"")</f>
        <v>30</v>
      </c>
      <c r="G220" s="86">
        <f>IF(B219&lt;'Умови та класичний графік'!$J$14,J220+K220+L220,"")</f>
        <v>83635.844748858421</v>
      </c>
      <c r="H220" s="87"/>
      <c r="I220" s="32">
        <f>IF(B219&lt;'Умови та класичний графік'!$J$14,I219-J220,"")</f>
        <v>2333333.3333333326</v>
      </c>
      <c r="J220" s="32">
        <f>IF(B219&lt;'Умови та класичний графік'!$J$14,J219,"")</f>
        <v>41666.666666666664</v>
      </c>
      <c r="K220" s="32">
        <f>IF(B219&lt;'Умови та класичний графік'!$J$14,((I219*'Умови та класичний графік'!$J$22)/365)*F220,"")</f>
        <v>41969.178082191756</v>
      </c>
      <c r="L220" s="30">
        <f>IF(B219&lt;'Умови та класичний графік'!$J$14,SUM(M220:V220),"")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графік'!$J$14,XIRR($G$36:G220,$C$36:C220,0),"")</f>
        <v>0.25208058105468745</v>
      </c>
      <c r="X220" s="42"/>
      <c r="Y220" s="35"/>
    </row>
    <row r="221" spans="2:25" x14ac:dyDescent="0.2">
      <c r="B221" s="25">
        <v>185</v>
      </c>
      <c r="C221" s="36">
        <f>IF(B220&lt;'Умови та класичний графік'!$J$14,EDATE(C220,1),"")</f>
        <v>49827</v>
      </c>
      <c r="D221" s="36">
        <f>IF(B220&lt;'Умови та класичний графік'!$J$14,C220,"")</f>
        <v>49796</v>
      </c>
      <c r="E221" s="26">
        <f>IF(B220&lt;'Умови та класичний графік'!$J$14,C221-1,"")</f>
        <v>49826</v>
      </c>
      <c r="F221" s="37">
        <f>IF(B220&lt;'Умови та класичний графік'!$J$14,E221-D221+1,"")</f>
        <v>31</v>
      </c>
      <c r="G221" s="86">
        <f>IF(B220&lt;'Умови та класичний графік'!$J$14,J221+K221+L221,"")</f>
        <v>84273.972602739712</v>
      </c>
      <c r="H221" s="87"/>
      <c r="I221" s="32">
        <f>IF(B220&lt;'Умови та класичний графік'!$J$14,I220-J221,"")</f>
        <v>2291666.666666666</v>
      </c>
      <c r="J221" s="32">
        <f>IF(B220&lt;'Умови та класичний графік'!$J$14,J220,"")</f>
        <v>41666.666666666664</v>
      </c>
      <c r="K221" s="32">
        <f>IF(B220&lt;'Умови та класичний графік'!$J$14,((I220*'Умови та класичний графік'!$J$22)/365)*F221,"")</f>
        <v>42607.305936073048</v>
      </c>
      <c r="L221" s="30">
        <f>IF(B220&lt;'Умови та класичний графік'!$J$14,SUM(M221:V221),"")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графік'!$J$14,XIRR($G$36:G221,$C$36:C221,0),"")</f>
        <v>0.25217862792968748</v>
      </c>
      <c r="X221" s="42"/>
      <c r="Y221" s="35"/>
    </row>
    <row r="222" spans="2:25" x14ac:dyDescent="0.2">
      <c r="B222" s="25">
        <v>186</v>
      </c>
      <c r="C222" s="36">
        <f>IF(B221&lt;'Умови та класичний графік'!$J$14,EDATE(C221,1),"")</f>
        <v>49857</v>
      </c>
      <c r="D222" s="36">
        <f>IF(B221&lt;'Умови та класичний графік'!$J$14,C221,"")</f>
        <v>49827</v>
      </c>
      <c r="E222" s="26">
        <f>IF(B221&lt;'Умови та класичний графік'!$J$14,C222-1,"")</f>
        <v>49856</v>
      </c>
      <c r="F222" s="37">
        <f>IF(B221&lt;'Умови та класичний графік'!$J$14,E222-D222+1,"")</f>
        <v>30</v>
      </c>
      <c r="G222" s="86">
        <f>IF(B221&lt;'Умови та класичний графік'!$J$14,J222+K222+L222,"")</f>
        <v>82163.242009132402</v>
      </c>
      <c r="H222" s="87"/>
      <c r="I222" s="32">
        <f>IF(B221&lt;'Умови та класичний графік'!$J$14,I221-J222,"")</f>
        <v>2249999.9999999995</v>
      </c>
      <c r="J222" s="32">
        <f>IF(B221&lt;'Умови та класичний графік'!$J$14,J221,"")</f>
        <v>41666.666666666664</v>
      </c>
      <c r="K222" s="32">
        <f>IF(B221&lt;'Умови та класичний графік'!$J$14,((I221*'Умови та класичний графік'!$J$22)/365)*F222,"")</f>
        <v>40496.575342465745</v>
      </c>
      <c r="L222" s="30">
        <f>IF(B221&lt;'Умови та класичний графік'!$J$14,SUM(M222:V222),"")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графік'!$J$14,XIRR($G$36:G222,$C$36:C222,0),"")</f>
        <v>0.25227230957031255</v>
      </c>
      <c r="X222" s="42"/>
      <c r="Y222" s="35"/>
    </row>
    <row r="223" spans="2:25" x14ac:dyDescent="0.2">
      <c r="B223" s="25">
        <v>187</v>
      </c>
      <c r="C223" s="36">
        <f>IF(B222&lt;'Умови та класичний графік'!$J$14,EDATE(C222,1),"")</f>
        <v>49888</v>
      </c>
      <c r="D223" s="36">
        <f>IF(B222&lt;'Умови та класичний графік'!$J$14,C222,"")</f>
        <v>49857</v>
      </c>
      <c r="E223" s="26">
        <f>IF(B222&lt;'Умови та класичний графік'!$J$14,C223-1,"")</f>
        <v>49887</v>
      </c>
      <c r="F223" s="37">
        <f>IF(B222&lt;'Умови та класичний графік'!$J$14,E223-D223+1,"")</f>
        <v>31</v>
      </c>
      <c r="G223" s="86">
        <f>IF(B222&lt;'Умови та класичний графік'!$J$14,J223+K223+L223,"")</f>
        <v>82752.283105022827</v>
      </c>
      <c r="H223" s="87"/>
      <c r="I223" s="32">
        <f>IF(B222&lt;'Умови та класичний графік'!$J$14,I222-J223,"")</f>
        <v>2208333.333333333</v>
      </c>
      <c r="J223" s="32">
        <f>IF(B222&lt;'Умови та класичний графік'!$J$14,J222,"")</f>
        <v>41666.666666666664</v>
      </c>
      <c r="K223" s="32">
        <f>IF(B222&lt;'Умови та класичний графік'!$J$14,((I222*'Умови та класичний графік'!$J$22)/365)*F223,"")</f>
        <v>41085.616438356155</v>
      </c>
      <c r="L223" s="30">
        <f>IF(B222&lt;'Умови та класичний графік'!$J$14,SUM(M223:V223),"")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графік'!$J$14,XIRR($G$36:G223,$C$36:C223,0),"")</f>
        <v>0.25236470214843754</v>
      </c>
      <c r="X223" s="42"/>
      <c r="Y223" s="35"/>
    </row>
    <row r="224" spans="2:25" x14ac:dyDescent="0.2">
      <c r="B224" s="25">
        <v>188</v>
      </c>
      <c r="C224" s="36">
        <f>IF(B223&lt;'Умови та класичний графік'!$J$14,EDATE(C223,1),"")</f>
        <v>49919</v>
      </c>
      <c r="D224" s="36">
        <f>IF(B223&lt;'Умови та класичний графік'!$J$14,C223,"")</f>
        <v>49888</v>
      </c>
      <c r="E224" s="26">
        <f>IF(B223&lt;'Умови та класичний графік'!$J$14,C224-1,"")</f>
        <v>49918</v>
      </c>
      <c r="F224" s="37">
        <f>IF(B223&lt;'Умови та класичний графік'!$J$14,E224-D224+1,"")</f>
        <v>31</v>
      </c>
      <c r="G224" s="86">
        <f>IF(B223&lt;'Умови та класичний графік'!$J$14,J224+K224+L224,"")</f>
        <v>81991.438356164377</v>
      </c>
      <c r="H224" s="87"/>
      <c r="I224" s="32">
        <f>IF(B223&lt;'Умови та класичний графік'!$J$14,I223-J224,"")</f>
        <v>2166666.6666666665</v>
      </c>
      <c r="J224" s="32">
        <f>IF(B223&lt;'Умови та класичний графік'!$J$14,J223,"")</f>
        <v>41666.666666666664</v>
      </c>
      <c r="K224" s="32">
        <f>IF(B223&lt;'Умови та класичний графік'!$J$14,((I223*'Умови та класичний графік'!$J$22)/365)*F224,"")</f>
        <v>40324.771689497706</v>
      </c>
      <c r="L224" s="30">
        <f>IF(B223&lt;'Умови та класичний графік'!$J$14,SUM(M224:V224),"")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графік'!$J$14,XIRR($G$36:G224,$C$36:C224,0),"")</f>
        <v>0.25245436035156255</v>
      </c>
      <c r="X224" s="42"/>
      <c r="Y224" s="35"/>
    </row>
    <row r="225" spans="2:25" x14ac:dyDescent="0.2">
      <c r="B225" s="25">
        <v>189</v>
      </c>
      <c r="C225" s="36">
        <f>IF(B224&lt;'Умови та класичний графік'!$J$14,EDATE(C224,1),"")</f>
        <v>49949</v>
      </c>
      <c r="D225" s="36">
        <f>IF(B224&lt;'Умови та класичний графік'!$J$14,C224,"")</f>
        <v>49919</v>
      </c>
      <c r="E225" s="26">
        <f>IF(B224&lt;'Умови та класичний графік'!$J$14,C225-1,"")</f>
        <v>49948</v>
      </c>
      <c r="F225" s="37">
        <f>IF(B224&lt;'Умови та класичний графік'!$J$14,E225-D225+1,"")</f>
        <v>30</v>
      </c>
      <c r="G225" s="86">
        <f>IF(B224&lt;'Умови та класичний графік'!$J$14,J225+K225+L225,"")</f>
        <v>79954.337899543374</v>
      </c>
      <c r="H225" s="87"/>
      <c r="I225" s="32">
        <f>IF(B224&lt;'Умови та класичний графік'!$J$14,I224-J225,"")</f>
        <v>2125000</v>
      </c>
      <c r="J225" s="32">
        <f>IF(B224&lt;'Умови та класичний графік'!$J$14,J224,"")</f>
        <v>41666.666666666664</v>
      </c>
      <c r="K225" s="32">
        <f>IF(B224&lt;'Умови та класичний графік'!$J$14,((I224*'Умови та класичний графік'!$J$22)/365)*F225,"")</f>
        <v>38287.67123287671</v>
      </c>
      <c r="L225" s="30">
        <f>IF(B224&lt;'Умови та класичний графік'!$J$14,SUM(M225:V225),"")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графік'!$J$14,XIRR($G$36:G225,$C$36:C225,0),"")</f>
        <v>0.25254004394531249</v>
      </c>
      <c r="X225" s="42"/>
      <c r="Y225" s="35"/>
    </row>
    <row r="226" spans="2:25" x14ac:dyDescent="0.2">
      <c r="B226" s="25">
        <v>190</v>
      </c>
      <c r="C226" s="36">
        <f>IF(B225&lt;'Умови та класичний графік'!$J$14,EDATE(C225,1),"")</f>
        <v>49980</v>
      </c>
      <c r="D226" s="36">
        <f>IF(B225&lt;'Умови та класичний графік'!$J$14,C225,"")</f>
        <v>49949</v>
      </c>
      <c r="E226" s="26">
        <f>IF(B225&lt;'Умови та класичний графік'!$J$14,C226-1,"")</f>
        <v>49979</v>
      </c>
      <c r="F226" s="37">
        <f>IF(B225&lt;'Умови та класичний графік'!$J$14,E226-D226+1,"")</f>
        <v>31</v>
      </c>
      <c r="G226" s="86">
        <f>IF(B225&lt;'Умови та класичний графік'!$J$14,J226+K226+L226,"")</f>
        <v>80469.748858447492</v>
      </c>
      <c r="H226" s="87"/>
      <c r="I226" s="32">
        <f>IF(B225&lt;'Умови та класичний графік'!$J$14,I225-J226,"")</f>
        <v>2083333.3333333333</v>
      </c>
      <c r="J226" s="32">
        <f>IF(B225&lt;'Умови та класичний графік'!$J$14,J225,"")</f>
        <v>41666.666666666664</v>
      </c>
      <c r="K226" s="32">
        <f>IF(B225&lt;'Умови та класичний графік'!$J$14,((I225*'Умови та класичний графік'!$J$22)/365)*F226,"")</f>
        <v>38803.082191780828</v>
      </c>
      <c r="L226" s="30">
        <f>IF(B225&lt;'Умови та класичний графік'!$J$14,SUM(M226:V226),"")</f>
        <v>0</v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>
        <f>IF(B225&lt;'Умови та класичний графік'!$J$14,XIRR($G$36:G226,$C$36:C226,0),"")</f>
        <v>0.25262449707031254</v>
      </c>
      <c r="X226" s="42"/>
      <c r="Y226" s="35"/>
    </row>
    <row r="227" spans="2:25" x14ac:dyDescent="0.2">
      <c r="B227" s="25">
        <v>191</v>
      </c>
      <c r="C227" s="36">
        <f>IF(B226&lt;'Умови та класичний графік'!$J$14,EDATE(C226,1),"")</f>
        <v>50010</v>
      </c>
      <c r="D227" s="36">
        <f>IF(B226&lt;'Умови та класичний графік'!$J$14,C226,"")</f>
        <v>49980</v>
      </c>
      <c r="E227" s="26">
        <f>IF(B226&lt;'Умови та класичний графік'!$J$14,C227-1,"")</f>
        <v>50009</v>
      </c>
      <c r="F227" s="37">
        <f>IF(B226&lt;'Умови та класичний графік'!$J$14,E227-D227+1,"")</f>
        <v>30</v>
      </c>
      <c r="G227" s="86">
        <f>IF(B226&lt;'Умови та класичний графік'!$J$14,J227+K227+L227,"")</f>
        <v>78481.735159817341</v>
      </c>
      <c r="H227" s="87"/>
      <c r="I227" s="32">
        <f>IF(B226&lt;'Умови та класичний графік'!$J$14,I226-J227,"")</f>
        <v>2041666.6666666665</v>
      </c>
      <c r="J227" s="32">
        <f>IF(B226&lt;'Умови та класичний графік'!$J$14,J226,"")</f>
        <v>41666.666666666664</v>
      </c>
      <c r="K227" s="32">
        <f>IF(B226&lt;'Умови та класичний графік'!$J$14,((I226*'Умови та класичний графік'!$J$22)/365)*F227,"")</f>
        <v>36815.068493150677</v>
      </c>
      <c r="L227" s="30">
        <f>IF(B226&lt;'Умови та класичний графік'!$J$14,SUM(M227:V227),"")</f>
        <v>0</v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>
        <f>IF(B226&lt;'Умови та класичний графік'!$J$14,XIRR($G$36:G227,$C$36:C227,0),"")</f>
        <v>0.25270522949218754</v>
      </c>
      <c r="X227" s="42"/>
      <c r="Y227" s="35"/>
    </row>
    <row r="228" spans="2:25" x14ac:dyDescent="0.2">
      <c r="B228" s="25">
        <v>192</v>
      </c>
      <c r="C228" s="36">
        <f>IF(B227&lt;'Умови та класичний графік'!$J$14,EDATE(C227,1),"")</f>
        <v>50041</v>
      </c>
      <c r="D228" s="36">
        <f>IF(B227&lt;'Умови та класичний графік'!$J$14,C227,"")</f>
        <v>50010</v>
      </c>
      <c r="E228" s="26">
        <f>IF(B227&lt;'Умови та класичний графік'!$J$14,C228-1,"")</f>
        <v>50040</v>
      </c>
      <c r="F228" s="37">
        <f>IF(B227&lt;'Умови та класичний графік'!$J$14,E228-D228+1,"")</f>
        <v>31</v>
      </c>
      <c r="G228" s="86">
        <f>IF(B227&lt;'Умови та класичний графік'!$J$14,J228+K228+L228,"")</f>
        <v>125448.05936073059</v>
      </c>
      <c r="H228" s="87"/>
      <c r="I228" s="32">
        <f>IF(B227&lt;'Умови та класичний графік'!$J$14,I227-J228,"")</f>
        <v>1999999.9999999998</v>
      </c>
      <c r="J228" s="32">
        <f>IF(B227&lt;'Умови та класичний графік'!$J$14,J227,"")</f>
        <v>41666.666666666664</v>
      </c>
      <c r="K228" s="32">
        <f>IF(B227&lt;'Умови та класичний графік'!$J$14,((I227*'Умови та класичний графік'!$J$22)/365)*F228,"")</f>
        <v>37281.392694063929</v>
      </c>
      <c r="L228" s="30">
        <f>IF(B227&lt;'Умови та класичний графік'!$J$14,SUM(M228:V228),"")</f>
        <v>46500</v>
      </c>
      <c r="M228" s="38"/>
      <c r="N228" s="39"/>
      <c r="O228" s="39"/>
      <c r="P228" s="32"/>
      <c r="Q228" s="40"/>
      <c r="R228" s="40"/>
      <c r="S228" s="41"/>
      <c r="T228" s="41"/>
      <c r="U228" s="33">
        <f>IF(B227&lt;'Умови та класичний графік'!$J$14,('Умови та класичний графік'!$J$15*$N$20)+(I228*$N$21),"")</f>
        <v>46500</v>
      </c>
      <c r="V228" s="41"/>
      <c r="W228" s="43">
        <f>IF(B227&lt;'Умови та класичний графік'!$J$14,XIRR($G$36:G228,$C$36:C228,0),"")</f>
        <v>0.25283157714843751</v>
      </c>
      <c r="X228" s="42"/>
      <c r="Y228" s="35"/>
    </row>
    <row r="229" spans="2:25" x14ac:dyDescent="0.2">
      <c r="B229" s="25">
        <v>193</v>
      </c>
      <c r="C229" s="36">
        <f>IF(B228&lt;'Умови та класичний графік'!$J$14,EDATE(C228,1),"")</f>
        <v>50072</v>
      </c>
      <c r="D229" s="36">
        <f>IF(B228&lt;'Умови та класичний графік'!$J$14,C228,"")</f>
        <v>50041</v>
      </c>
      <c r="E229" s="26">
        <f>IF(B228&lt;'Умови та класичний графік'!$J$14,C229-1,"")</f>
        <v>50071</v>
      </c>
      <c r="F229" s="37">
        <f>IF(B228&lt;'Умови та класичний графік'!$J$14,E229-D229+1,"")</f>
        <v>31</v>
      </c>
      <c r="G229" s="86">
        <f>IF(B228&lt;'Умови та класичний графік'!$J$14,J229+K229+L229,"")</f>
        <v>78187.214611872143</v>
      </c>
      <c r="H229" s="87"/>
      <c r="I229" s="32">
        <f>IF(B228&lt;'Умови та класичний графік'!$J$14,I228-J229,"")</f>
        <v>1958333.333333333</v>
      </c>
      <c r="J229" s="32">
        <f>IF(B228&lt;'Умови та класичний графік'!$J$14,J228,"")</f>
        <v>41666.666666666664</v>
      </c>
      <c r="K229" s="32">
        <f>IF(B228&lt;'Умови та класичний графік'!$J$14,((I228*'Умови та класичний графік'!$J$22)/365)*F229,"")</f>
        <v>36520.547945205479</v>
      </c>
      <c r="L229" s="30">
        <f>IF(B228&lt;'Умови та класичний графік'!$J$14,SUM(M229:V229),"")</f>
        <v>0</v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>
        <f>IF(B228&lt;'Умови та класичний графік'!$J$14,XIRR($G$36:G229,$C$36:C229,0),"")</f>
        <v>0.2529086669921875</v>
      </c>
      <c r="X229" s="42"/>
      <c r="Y229" s="35"/>
    </row>
    <row r="230" spans="2:25" x14ac:dyDescent="0.2">
      <c r="B230" s="25">
        <v>194</v>
      </c>
      <c r="C230" s="36">
        <f>IF(B229&lt;'Умови та класичний графік'!$J$14,EDATE(C229,1),"")</f>
        <v>50100</v>
      </c>
      <c r="D230" s="36">
        <f>IF(B229&lt;'Умови та класичний графік'!$J$14,C229,"")</f>
        <v>50072</v>
      </c>
      <c r="E230" s="26">
        <f>IF(B229&lt;'Умови та класичний графік'!$J$14,C230-1,"")</f>
        <v>50099</v>
      </c>
      <c r="F230" s="37">
        <f>IF(B229&lt;'Умови та класичний графік'!$J$14,E230-D230+1,"")</f>
        <v>28</v>
      </c>
      <c r="G230" s="86">
        <f>IF(B229&lt;'Умови та класичний графік'!$J$14,J230+K230+L230,"")</f>
        <v>73965.753424657523</v>
      </c>
      <c r="H230" s="87"/>
      <c r="I230" s="32">
        <f>IF(B229&lt;'Умови та класичний графік'!$J$14,I229-J230,"")</f>
        <v>1916666.6666666663</v>
      </c>
      <c r="J230" s="32">
        <f>IF(B229&lt;'Умови та класичний графік'!$J$14,J229,"")</f>
        <v>41666.666666666664</v>
      </c>
      <c r="K230" s="32">
        <f>IF(B229&lt;'Умови та класичний графік'!$J$14,((I229*'Умови та класичний графік'!$J$22)/365)*F230,"")</f>
        <v>32299.086757990859</v>
      </c>
      <c r="L230" s="30">
        <f>IF(B229&lt;'Умови та класичний графік'!$J$14,SUM(M230:V230),"")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графік'!$J$14,XIRR($G$36:G230,$C$36:C230,0),"")</f>
        <v>0.25298023925781243</v>
      </c>
      <c r="X230" s="42"/>
      <c r="Y230" s="35"/>
    </row>
    <row r="231" spans="2:25" x14ac:dyDescent="0.2">
      <c r="B231" s="25">
        <v>195</v>
      </c>
      <c r="C231" s="36">
        <f>IF(B230&lt;'Умови та класичний графік'!$J$14,EDATE(C230,1),"")</f>
        <v>50131</v>
      </c>
      <c r="D231" s="36">
        <f>IF(B230&lt;'Умови та класичний графік'!$J$14,C230,"")</f>
        <v>50100</v>
      </c>
      <c r="E231" s="26">
        <f>IF(B230&lt;'Умови та класичний графік'!$J$14,C231-1,"")</f>
        <v>50130</v>
      </c>
      <c r="F231" s="37">
        <f>IF(B230&lt;'Умови та класичний графік'!$J$14,E231-D231+1,"")</f>
        <v>31</v>
      </c>
      <c r="G231" s="86">
        <f>IF(B230&lt;'Умови та класичний графік'!$J$14,J231+K231+L231,"")</f>
        <v>76665.525114155244</v>
      </c>
      <c r="H231" s="87"/>
      <c r="I231" s="32">
        <f>IF(B230&lt;'Умови та класичний графік'!$J$14,I230-J231,"")</f>
        <v>1874999.9999999995</v>
      </c>
      <c r="J231" s="32">
        <f>IF(B230&lt;'Умови та класичний графік'!$J$14,J230,"")</f>
        <v>41666.666666666664</v>
      </c>
      <c r="K231" s="32">
        <f>IF(B230&lt;'Умови та класичний графік'!$J$14,((I230*'Умови та класичний графік'!$J$22)/365)*F231,"")</f>
        <v>34998.858447488579</v>
      </c>
      <c r="L231" s="30">
        <f>IF(B230&lt;'Умови та класичний графік'!$J$14,SUM(M231:V231),"")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графік'!$J$14,XIRR($G$36:G231,$C$36:C231,0),"")</f>
        <v>0.25305291503906258</v>
      </c>
      <c r="X231" s="42"/>
      <c r="Y231" s="35"/>
    </row>
    <row r="232" spans="2:25" x14ac:dyDescent="0.2">
      <c r="B232" s="25">
        <v>196</v>
      </c>
      <c r="C232" s="36">
        <f>IF(B231&lt;'Умови та класичний графік'!$J$14,EDATE(C231,1),"")</f>
        <v>50161</v>
      </c>
      <c r="D232" s="36">
        <f>IF(B231&lt;'Умови та класичний графік'!$J$14,C231,"")</f>
        <v>50131</v>
      </c>
      <c r="E232" s="26">
        <f>IF(B231&lt;'Умови та класичний графік'!$J$14,C232-1,"")</f>
        <v>50160</v>
      </c>
      <c r="F232" s="37">
        <f>IF(B231&lt;'Умови та класичний графік'!$J$14,E232-D232+1,"")</f>
        <v>30</v>
      </c>
      <c r="G232" s="86">
        <f>IF(B231&lt;'Умови та класичний графік'!$J$14,J232+K232+L232,"")</f>
        <v>74800.22831050228</v>
      </c>
      <c r="H232" s="87"/>
      <c r="I232" s="32">
        <f>IF(B231&lt;'Умови та класичний графік'!$J$14,I231-J232,"")</f>
        <v>1833333.3333333328</v>
      </c>
      <c r="J232" s="32">
        <f>IF(B231&lt;'Умови та класичний графік'!$J$14,J231,"")</f>
        <v>41666.666666666664</v>
      </c>
      <c r="K232" s="32">
        <f>IF(B231&lt;'Умови та класичний графік'!$J$14,((I231*'Умови та класичний графік'!$J$22)/365)*F232,"")</f>
        <v>33133.561643835608</v>
      </c>
      <c r="L232" s="30">
        <f>IF(B231&lt;'Умови та класичний графік'!$J$14,SUM(M232:V232),"")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графік'!$J$14,XIRR($G$36:G232,$C$36:C232,0),"")</f>
        <v>0.25312241699218752</v>
      </c>
      <c r="X232" s="42"/>
      <c r="Y232" s="35"/>
    </row>
    <row r="233" spans="2:25" x14ac:dyDescent="0.2">
      <c r="B233" s="25">
        <v>197</v>
      </c>
      <c r="C233" s="36">
        <f>IF(B232&lt;'Умови та класичний графік'!$J$14,EDATE(C232,1),"")</f>
        <v>50192</v>
      </c>
      <c r="D233" s="36">
        <f>IF(B232&lt;'Умови та класичний графік'!$J$14,C232,"")</f>
        <v>50161</v>
      </c>
      <c r="E233" s="26">
        <f>IF(B232&lt;'Умови та класичний графік'!$J$14,C233-1,"")</f>
        <v>50191</v>
      </c>
      <c r="F233" s="37">
        <f>IF(B232&lt;'Умови та класичний графік'!$J$14,E233-D233+1,"")</f>
        <v>31</v>
      </c>
      <c r="G233" s="86">
        <f>IF(B232&lt;'Умови та класичний графік'!$J$14,J233+K233+L233,"")</f>
        <v>75143.835616438344</v>
      </c>
      <c r="H233" s="87"/>
      <c r="I233" s="32">
        <f>IF(B232&lt;'Умови та класичний графік'!$J$14,I232-J233,"")</f>
        <v>1791666.666666666</v>
      </c>
      <c r="J233" s="32">
        <f>IF(B232&lt;'Умови та класичний графік'!$J$14,J232,"")</f>
        <v>41666.666666666664</v>
      </c>
      <c r="K233" s="32">
        <f>IF(B232&lt;'Умови та класичний графік'!$J$14,((I232*'Умови та класичний графік'!$J$22)/365)*F233,"")</f>
        <v>33477.16894977168</v>
      </c>
      <c r="L233" s="30">
        <f>IF(B232&lt;'Умови та класичний графік'!$J$14,SUM(M233:V233),"")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графік'!$J$14,XIRR($G$36:G233,$C$36:C233,0),"")</f>
        <v>0.25319081542968747</v>
      </c>
      <c r="X233" s="42"/>
      <c r="Y233" s="35"/>
    </row>
    <row r="234" spans="2:25" x14ac:dyDescent="0.2">
      <c r="B234" s="25">
        <v>198</v>
      </c>
      <c r="C234" s="36">
        <f>IF(B233&lt;'Умови та класичний графік'!$J$14,EDATE(C233,1),"")</f>
        <v>50222</v>
      </c>
      <c r="D234" s="36">
        <f>IF(B233&lt;'Умови та класичний графік'!$J$14,C233,"")</f>
        <v>50192</v>
      </c>
      <c r="E234" s="26">
        <f>IF(B233&lt;'Умови та класичний графік'!$J$14,C234-1,"")</f>
        <v>50221</v>
      </c>
      <c r="F234" s="37">
        <f>IF(B233&lt;'Умови та класичний графік'!$J$14,E234-D234+1,"")</f>
        <v>30</v>
      </c>
      <c r="G234" s="86">
        <f>IF(B233&lt;'Умови та класичний графік'!$J$14,J234+K234+L234,"")</f>
        <v>73327.625570776247</v>
      </c>
      <c r="H234" s="87"/>
      <c r="I234" s="32">
        <f>IF(B233&lt;'Умови та класичний графік'!$J$14,I233-J234,"")</f>
        <v>1749999.9999999993</v>
      </c>
      <c r="J234" s="32">
        <f>IF(B233&lt;'Умови та класичний графік'!$J$14,J233,"")</f>
        <v>41666.666666666664</v>
      </c>
      <c r="K234" s="32">
        <f>IF(B233&lt;'Умови та класичний графік'!$J$14,((I233*'Умови та класичний графік'!$J$22)/365)*F234,"")</f>
        <v>31660.958904109579</v>
      </c>
      <c r="L234" s="30">
        <f>IF(B233&lt;'Умови та класичний графік'!$J$14,SUM(M234:V234),"")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графік'!$J$14,XIRR($G$36:G234,$C$36:C234,0),"")</f>
        <v>0.25325625488281256</v>
      </c>
      <c r="X234" s="42"/>
      <c r="Y234" s="35"/>
    </row>
    <row r="235" spans="2:25" x14ac:dyDescent="0.2">
      <c r="B235" s="25">
        <v>199</v>
      </c>
      <c r="C235" s="36">
        <f>IF(B234&lt;'Умови та класичний графік'!$J$14,EDATE(C234,1),"")</f>
        <v>50253</v>
      </c>
      <c r="D235" s="36">
        <f>IF(B234&lt;'Умови та класичний графік'!$J$14,C234,"")</f>
        <v>50222</v>
      </c>
      <c r="E235" s="26">
        <f>IF(B234&lt;'Умови та класичний графік'!$J$14,C235-1,"")</f>
        <v>50252</v>
      </c>
      <c r="F235" s="37">
        <f>IF(B234&lt;'Умови та класичний графік'!$J$14,E235-D235+1,"")</f>
        <v>31</v>
      </c>
      <c r="G235" s="86">
        <f>IF(B234&lt;'Умови та класичний графік'!$J$14,J235+K235+L235,"")</f>
        <v>73622.146118721445</v>
      </c>
      <c r="H235" s="87"/>
      <c r="I235" s="32">
        <f>IF(B234&lt;'Умови та класичний графік'!$J$14,I234-J235,"")</f>
        <v>1708333.3333333326</v>
      </c>
      <c r="J235" s="32">
        <f>IF(B234&lt;'Умови та класичний графік'!$J$14,J234,"")</f>
        <v>41666.666666666664</v>
      </c>
      <c r="K235" s="32">
        <f>IF(B234&lt;'Умови та класичний графік'!$J$14,((I234*'Умови та класичний графік'!$J$22)/365)*F235,"")</f>
        <v>31955.479452054777</v>
      </c>
      <c r="L235" s="30">
        <f>IF(B234&lt;'Умови та класичний графік'!$J$14,SUM(M235:V235),"")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графік'!$J$14,XIRR($G$36:G235,$C$36:C235,0),"")</f>
        <v>0.2533206103515625</v>
      </c>
      <c r="X235" s="42"/>
      <c r="Y235" s="35"/>
    </row>
    <row r="236" spans="2:25" x14ac:dyDescent="0.2">
      <c r="B236" s="25">
        <v>200</v>
      </c>
      <c r="C236" s="36">
        <f>IF(B235&lt;'Умови та класичний графік'!$J$14,EDATE(C235,1),"")</f>
        <v>50284</v>
      </c>
      <c r="D236" s="36">
        <f>IF(B235&lt;'Умови та класичний графік'!$J$14,C235,"")</f>
        <v>50253</v>
      </c>
      <c r="E236" s="26">
        <f>IF(B235&lt;'Умови та класичний графік'!$J$14,C236-1,"")</f>
        <v>50283</v>
      </c>
      <c r="F236" s="37">
        <f>IF(B235&lt;'Умови та класичний графік'!$J$14,E236-D236+1,"")</f>
        <v>31</v>
      </c>
      <c r="G236" s="86">
        <f>IF(B235&lt;'Умови та класичний графік'!$J$14,J236+K236+L236,"")</f>
        <v>72861.301369862995</v>
      </c>
      <c r="H236" s="87"/>
      <c r="I236" s="32">
        <f>IF(B235&lt;'Умови та класичний графік'!$J$14,I235-J236,"")</f>
        <v>1666666.6666666658</v>
      </c>
      <c r="J236" s="32">
        <f>IF(B235&lt;'Умови та класичний графік'!$J$14,J235,"")</f>
        <v>41666.666666666664</v>
      </c>
      <c r="K236" s="32">
        <f>IF(B235&lt;'Умови та класичний графік'!$J$14,((I235*'Умови та класичний графік'!$J$22)/365)*F236,"")</f>
        <v>31194.634703196334</v>
      </c>
      <c r="L236" s="30">
        <f>IF(B235&lt;'Умови та класичний графік'!$J$14,SUM(M236:V236),"")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графік'!$J$14,XIRR($G$36:G236,$C$36:C236,0),"")</f>
        <v>0.25338301269531249</v>
      </c>
      <c r="X236" s="42"/>
      <c r="Y236" s="35"/>
    </row>
    <row r="237" spans="2:25" x14ac:dyDescent="0.2">
      <c r="B237" s="25">
        <v>201</v>
      </c>
      <c r="C237" s="36">
        <f>IF(B236&lt;'Умови та класичний графік'!$J$14,EDATE(C236,1),"")</f>
        <v>50314</v>
      </c>
      <c r="D237" s="36">
        <f>IF(B236&lt;'Умови та класичний графік'!$J$14,C236,"")</f>
        <v>50284</v>
      </c>
      <c r="E237" s="26">
        <f>IF(B236&lt;'Умови та класичний графік'!$J$14,C237-1,"")</f>
        <v>50313</v>
      </c>
      <c r="F237" s="37">
        <f>IF(B236&lt;'Умови та класичний графік'!$J$14,E237-D237+1,"")</f>
        <v>30</v>
      </c>
      <c r="G237" s="86">
        <f>IF(B236&lt;'Умови та класичний графік'!$J$14,J237+K237+L237,"")</f>
        <v>71118.72146118719</v>
      </c>
      <c r="H237" s="87"/>
      <c r="I237" s="32">
        <f>IF(B236&lt;'Умови та класичний графік'!$J$14,I236-J237,"")</f>
        <v>1624999.9999999991</v>
      </c>
      <c r="J237" s="32">
        <f>IF(B236&lt;'Умови та класичний графік'!$J$14,J236,"")</f>
        <v>41666.666666666664</v>
      </c>
      <c r="K237" s="32">
        <f>IF(B236&lt;'Умови та класичний графік'!$J$14,((I236*'Умови та класичний графік'!$J$22)/365)*F237,"")</f>
        <v>29452.054794520529</v>
      </c>
      <c r="L237" s="30">
        <f>IF(B236&lt;'Умови та класичний графік'!$J$14,SUM(M237:V237),"")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графік'!$J$14,XIRR($G$36:G237,$C$36:C237,0),"")</f>
        <v>0.25344272949218749</v>
      </c>
      <c r="X237" s="42"/>
      <c r="Y237" s="35"/>
    </row>
    <row r="238" spans="2:25" x14ac:dyDescent="0.2">
      <c r="B238" s="25">
        <v>202</v>
      </c>
      <c r="C238" s="36">
        <f>IF(B237&lt;'Умови та класичний графік'!$J$14,EDATE(C237,1),"")</f>
        <v>50345</v>
      </c>
      <c r="D238" s="36">
        <f>IF(B237&lt;'Умови та класичний графік'!$J$14,C237,"")</f>
        <v>50314</v>
      </c>
      <c r="E238" s="26">
        <f>IF(B237&lt;'Умови та класичний графік'!$J$14,C238-1,"")</f>
        <v>50344</v>
      </c>
      <c r="F238" s="37">
        <f>IF(B237&lt;'Умови та класичний графік'!$J$14,E238-D238+1,"")</f>
        <v>31</v>
      </c>
      <c r="G238" s="86">
        <f>IF(B237&lt;'Умови та класичний графік'!$J$14,J238+K238+L238,"")</f>
        <v>71339.611872146095</v>
      </c>
      <c r="H238" s="87"/>
      <c r="I238" s="32">
        <f>IF(B237&lt;'Умови та класичний графік'!$J$14,I237-J238,"")</f>
        <v>1583333.3333333323</v>
      </c>
      <c r="J238" s="32">
        <f>IF(B237&lt;'Умови та класичний графік'!$J$14,J237,"")</f>
        <v>41666.666666666664</v>
      </c>
      <c r="K238" s="32">
        <f>IF(B237&lt;'Умови та класичний графік'!$J$14,((I237*'Умови та класичний графік'!$J$22)/365)*F238,"")</f>
        <v>29672.945205479431</v>
      </c>
      <c r="L238" s="30">
        <f>IF(B237&lt;'Умови та класичний графік'!$J$14,SUM(M238:V238),"")</f>
        <v>0</v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>
        <f>IF(B237&lt;'Умови та класичний графік'!$J$14,XIRR($G$36:G238,$C$36:C238,0),"")</f>
        <v>0.25350142089843741</v>
      </c>
      <c r="X238" s="42"/>
      <c r="Y238" s="35"/>
    </row>
    <row r="239" spans="2:25" x14ac:dyDescent="0.2">
      <c r="B239" s="25">
        <v>203</v>
      </c>
      <c r="C239" s="36">
        <f>IF(B238&lt;'Умови та класичний графік'!$J$14,EDATE(C238,1),"")</f>
        <v>50375</v>
      </c>
      <c r="D239" s="36">
        <f>IF(B238&lt;'Умови та класичний графік'!$J$14,C238,"")</f>
        <v>50345</v>
      </c>
      <c r="E239" s="26">
        <f>IF(B238&lt;'Умови та класичний графік'!$J$14,C239-1,"")</f>
        <v>50374</v>
      </c>
      <c r="F239" s="37">
        <f>IF(B238&lt;'Умови та класичний графік'!$J$14,E239-D239+1,"")</f>
        <v>30</v>
      </c>
      <c r="G239" s="86">
        <f>IF(B238&lt;'Умови та класичний графік'!$J$14,J239+K239+L239,"")</f>
        <v>69646.118721461171</v>
      </c>
      <c r="H239" s="87"/>
      <c r="I239" s="32">
        <f>IF(B238&lt;'Умови та класичний графік'!$J$14,I238-J239,"")</f>
        <v>1541666.6666666656</v>
      </c>
      <c r="J239" s="32">
        <f>IF(B238&lt;'Умови та класичний графік'!$J$14,J238,"")</f>
        <v>41666.666666666664</v>
      </c>
      <c r="K239" s="32">
        <f>IF(B238&lt;'Умови та класичний графік'!$J$14,((I238*'Умови та класичний графік'!$J$22)/365)*F239,"")</f>
        <v>27979.452054794503</v>
      </c>
      <c r="L239" s="30">
        <f>IF(B238&lt;'Умови та класичний графік'!$J$14,SUM(M239:V239),"")</f>
        <v>0</v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>
        <f>IF(B238&lt;'Умови та класичний графік'!$J$14,XIRR($G$36:G239,$C$36:C239,0),"")</f>
        <v>0.25355759277343748</v>
      </c>
      <c r="X239" s="42"/>
      <c r="Y239" s="35"/>
    </row>
    <row r="240" spans="2:25" x14ac:dyDescent="0.2">
      <c r="B240" s="25">
        <v>204</v>
      </c>
      <c r="C240" s="36">
        <f>IF(B239&lt;'Умови та класичний графік'!$J$14,EDATE(C239,1),"")</f>
        <v>50406</v>
      </c>
      <c r="D240" s="36">
        <f>IF(B239&lt;'Умови та класичний графік'!$J$14,C239,"")</f>
        <v>50375</v>
      </c>
      <c r="E240" s="26">
        <f>IF(B239&lt;'Умови та класичний графік'!$J$14,C240-1,"")</f>
        <v>50405</v>
      </c>
      <c r="F240" s="37">
        <f>IF(B239&lt;'Умови та класичний графік'!$J$14,E240-D240+1,"")</f>
        <v>31</v>
      </c>
      <c r="G240" s="86">
        <f>IF(B239&lt;'Умови та класичний графік'!$J$14,J240+K240+L240,"")</f>
        <v>114817.9223744292</v>
      </c>
      <c r="H240" s="87"/>
      <c r="I240" s="32">
        <f>IF(B239&lt;'Умови та класичний графік'!$J$14,I239-J240,"")</f>
        <v>1499999.9999999988</v>
      </c>
      <c r="J240" s="32">
        <f>IF(B239&lt;'Умови та класичний графік'!$J$14,J239,"")</f>
        <v>41666.666666666664</v>
      </c>
      <c r="K240" s="32">
        <f>IF(B239&lt;'Умови та класичний графік'!$J$14,((I239*'Умови та класичний графік'!$J$22)/365)*F240,"")</f>
        <v>28151.255707762535</v>
      </c>
      <c r="L240" s="30">
        <f>IF(B239&lt;'Умови та класичний графік'!$J$14,SUM(M240:V240),"")</f>
        <v>45000</v>
      </c>
      <c r="M240" s="38"/>
      <c r="N240" s="39"/>
      <c r="O240" s="39"/>
      <c r="P240" s="32"/>
      <c r="Q240" s="40"/>
      <c r="R240" s="40"/>
      <c r="S240" s="41"/>
      <c r="T240" s="41"/>
      <c r="U240" s="33">
        <f>IF(B239&lt;'Умови та класичний графік'!$J$14,('Умови та класичний графік'!$J$15*$N$20)+(I240*$N$21),"")</f>
        <v>45000</v>
      </c>
      <c r="V240" s="41"/>
      <c r="W240" s="43">
        <f>IF(B239&lt;'Умови та класичний графік'!$J$14,XIRR($G$36:G240,$C$36:C240,0),"")</f>
        <v>0.25364829589843751</v>
      </c>
      <c r="X240" s="42"/>
      <c r="Y240" s="35"/>
    </row>
    <row r="241" spans="2:25" x14ac:dyDescent="0.2">
      <c r="B241" s="25">
        <v>205</v>
      </c>
      <c r="C241" s="36">
        <f>IF(B240&lt;'Умови та класичний графік'!$J$14,EDATE(C240,1),"")</f>
        <v>50437</v>
      </c>
      <c r="D241" s="36">
        <f>IF(B240&lt;'Умови та класичний графік'!$J$14,C240,"")</f>
        <v>50406</v>
      </c>
      <c r="E241" s="26">
        <f>IF(B240&lt;'Умови та класичний графік'!$J$14,C241-1,"")</f>
        <v>50436</v>
      </c>
      <c r="F241" s="37">
        <f>IF(B240&lt;'Умови та класичний графік'!$J$14,E241-D241+1,"")</f>
        <v>31</v>
      </c>
      <c r="G241" s="86">
        <f>IF(B240&lt;'Умови та класичний графік'!$J$14,J241+K241+L241,"")</f>
        <v>69057.077625570761</v>
      </c>
      <c r="H241" s="87"/>
      <c r="I241" s="32">
        <f>IF(B240&lt;'Умови та класичний графік'!$J$14,I240-J241,"")</f>
        <v>1458333.3333333321</v>
      </c>
      <c r="J241" s="32">
        <f>IF(B240&lt;'Умови та класичний графік'!$J$14,J240,"")</f>
        <v>41666.666666666664</v>
      </c>
      <c r="K241" s="32">
        <f>IF(B240&lt;'Умови та класичний графік'!$J$14,((I240*'Умови та класичний графік'!$J$22)/365)*F241,"")</f>
        <v>27390.410958904089</v>
      </c>
      <c r="L241" s="30">
        <f>IF(B240&lt;'Умови та класичний графік'!$J$14,SUM(M241:V241),"")</f>
        <v>0</v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>
        <f>IF(B240&lt;'Умови та класичний графік'!$J$14,XIRR($G$36:G241,$C$36:C241,0),"")</f>
        <v>0.2537017333984376</v>
      </c>
      <c r="X241" s="42"/>
      <c r="Y241" s="35"/>
    </row>
    <row r="242" spans="2:25" x14ac:dyDescent="0.2">
      <c r="B242" s="25">
        <v>206</v>
      </c>
      <c r="C242" s="36">
        <f>IF(B241&lt;'Умови та класичний графік'!$J$14,EDATE(C241,1),"")</f>
        <v>50465</v>
      </c>
      <c r="D242" s="36">
        <f>IF(B241&lt;'Умови та класичний графік'!$J$14,C241,"")</f>
        <v>50437</v>
      </c>
      <c r="E242" s="26">
        <f>IF(B241&lt;'Умови та класичний графік'!$J$14,C242-1,"")</f>
        <v>50464</v>
      </c>
      <c r="F242" s="37">
        <f>IF(B241&lt;'Умови та класичний графік'!$J$14,E242-D242+1,"")</f>
        <v>28</v>
      </c>
      <c r="G242" s="86">
        <f>IF(B241&lt;'Умови та класичний графік'!$J$14,J242+K242+L242,"")</f>
        <v>65719.178082191764</v>
      </c>
      <c r="H242" s="87"/>
      <c r="I242" s="32">
        <f>IF(B241&lt;'Умови та класичний графік'!$J$14,I241-J242,"")</f>
        <v>1416666.6666666653</v>
      </c>
      <c r="J242" s="32">
        <f>IF(B241&lt;'Умови та класичний графік'!$J$14,J241,"")</f>
        <v>41666.666666666664</v>
      </c>
      <c r="K242" s="32">
        <f>IF(B241&lt;'Умови та класичний графік'!$J$14,((I241*'Умови та класичний графік'!$J$22)/365)*F242,"")</f>
        <v>24052.511415525092</v>
      </c>
      <c r="L242" s="30">
        <f>IF(B241&lt;'Умови та класичний графік'!$J$14,SUM(M242:V242),"")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графік'!$J$14,XIRR($G$36:G242,$C$36:C242,0),"")</f>
        <v>0.25375165527343746</v>
      </c>
      <c r="X242" s="42"/>
      <c r="Y242" s="35"/>
    </row>
    <row r="243" spans="2:25" x14ac:dyDescent="0.2">
      <c r="B243" s="25">
        <v>207</v>
      </c>
      <c r="C243" s="36">
        <f>IF(B242&lt;'Умови та класичний графік'!$J$14,EDATE(C242,1),"")</f>
        <v>50496</v>
      </c>
      <c r="D243" s="36">
        <f>IF(B242&lt;'Умови та класичний графік'!$J$14,C242,"")</f>
        <v>50465</v>
      </c>
      <c r="E243" s="26">
        <f>IF(B242&lt;'Умови та класичний графік'!$J$14,C243-1,"")</f>
        <v>50495</v>
      </c>
      <c r="F243" s="37">
        <f>IF(B242&lt;'Умови та класичний графік'!$J$14,E243-D243+1,"")</f>
        <v>31</v>
      </c>
      <c r="G243" s="86">
        <f>IF(B242&lt;'Умови та класичний графік'!$J$14,J243+K243+L243,"")</f>
        <v>67535.388127853847</v>
      </c>
      <c r="H243" s="87"/>
      <c r="I243" s="32">
        <f>IF(B242&lt;'Умови та класичний графік'!$J$14,I242-J243,"")</f>
        <v>1374999.9999999986</v>
      </c>
      <c r="J243" s="32">
        <f>IF(B242&lt;'Умови та класичний графік'!$J$14,J242,"")</f>
        <v>41666.666666666664</v>
      </c>
      <c r="K243" s="32">
        <f>IF(B242&lt;'Умови та класичний графік'!$J$14,((I242*'Умови та класичний графік'!$J$22)/365)*F243,"")</f>
        <v>25868.721461187186</v>
      </c>
      <c r="L243" s="30">
        <f>IF(B242&lt;'Умови та класичний графік'!$J$14,SUM(M243:V243),"")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графік'!$J$14,XIRR($G$36:G243,$C$36:C243,0),"")</f>
        <v>0.25380192871093743</v>
      </c>
      <c r="X243" s="42"/>
      <c r="Y243" s="35"/>
    </row>
    <row r="244" spans="2:25" x14ac:dyDescent="0.2">
      <c r="B244" s="25">
        <v>208</v>
      </c>
      <c r="C244" s="36">
        <f>IF(B243&lt;'Умови та класичний графік'!$J$14,EDATE(C243,1),"")</f>
        <v>50526</v>
      </c>
      <c r="D244" s="36">
        <f>IF(B243&lt;'Умови та класичний графік'!$J$14,C243,"")</f>
        <v>50496</v>
      </c>
      <c r="E244" s="26">
        <f>IF(B243&lt;'Умови та класичний графік'!$J$14,C244-1,"")</f>
        <v>50525</v>
      </c>
      <c r="F244" s="37">
        <f>IF(B243&lt;'Умови та класичний графік'!$J$14,E244-D244+1,"")</f>
        <v>30</v>
      </c>
      <c r="G244" s="86">
        <f>IF(B243&lt;'Умови та класичний графік'!$J$14,J244+K244+L244,"")</f>
        <v>65964.611872146095</v>
      </c>
      <c r="H244" s="87"/>
      <c r="I244" s="32">
        <f>IF(B243&lt;'Умови та класичний графік'!$J$14,I243-J244,"")</f>
        <v>1333333.3333333319</v>
      </c>
      <c r="J244" s="32">
        <f>IF(B243&lt;'Умови та класичний графік'!$J$14,J243,"")</f>
        <v>41666.666666666664</v>
      </c>
      <c r="K244" s="32">
        <f>IF(B243&lt;'Умови та класичний графік'!$J$14,((I243*'Умови та класичний графік'!$J$22)/365)*F244,"")</f>
        <v>24297.945205479427</v>
      </c>
      <c r="L244" s="30">
        <f>IF(B243&lt;'Умови та класичний графік'!$J$14,SUM(M244:V244),"")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графік'!$J$14,XIRR($G$36:G244,$C$36:C244,0),"")</f>
        <v>0.25385007324218745</v>
      </c>
      <c r="X244" s="42"/>
      <c r="Y244" s="35"/>
    </row>
    <row r="245" spans="2:25" x14ac:dyDescent="0.2">
      <c r="B245" s="25">
        <v>209</v>
      </c>
      <c r="C245" s="36">
        <f>IF(B244&lt;'Умови та класичний графік'!$J$14,EDATE(C244,1),"")</f>
        <v>50557</v>
      </c>
      <c r="D245" s="36">
        <f>IF(B244&lt;'Умови та класичний графік'!$J$14,C244,"")</f>
        <v>50526</v>
      </c>
      <c r="E245" s="26">
        <f>IF(B244&lt;'Умови та класичний графік'!$J$14,C245-1,"")</f>
        <v>50556</v>
      </c>
      <c r="F245" s="37">
        <f>IF(B244&lt;'Умови та класичний графік'!$J$14,E245-D245+1,"")</f>
        <v>31</v>
      </c>
      <c r="G245" s="86">
        <f>IF(B244&lt;'Умови та класичний графік'!$J$14,J245+K245+L245,"")</f>
        <v>66013.698630136962</v>
      </c>
      <c r="H245" s="87"/>
      <c r="I245" s="32">
        <f>IF(B244&lt;'Умови та класичний графік'!$J$14,I244-J245,"")</f>
        <v>1291666.6666666651</v>
      </c>
      <c r="J245" s="32">
        <f>IF(B244&lt;'Умови та класичний графік'!$J$14,J244,"")</f>
        <v>41666.666666666664</v>
      </c>
      <c r="K245" s="32">
        <f>IF(B244&lt;'Умови та класичний графік'!$J$14,((I244*'Умови та класичний графік'!$J$22)/365)*F245,"")</f>
        <v>24347.031963470294</v>
      </c>
      <c r="L245" s="30">
        <f>IF(B244&lt;'Умови та класичний графік'!$J$14,SUM(M245:V245),"")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графік'!$J$14,XIRR($G$36:G245,$C$36:C245,0),"")</f>
        <v>0.25389729003906258</v>
      </c>
      <c r="X245" s="42"/>
      <c r="Y245" s="35"/>
    </row>
    <row r="246" spans="2:25" x14ac:dyDescent="0.2">
      <c r="B246" s="25">
        <v>210</v>
      </c>
      <c r="C246" s="36">
        <f>IF(B245&lt;'Умови та класичний графік'!$J$14,EDATE(C245,1),"")</f>
        <v>50587</v>
      </c>
      <c r="D246" s="36">
        <f>IF(B245&lt;'Умови та класичний графік'!$J$14,C245,"")</f>
        <v>50557</v>
      </c>
      <c r="E246" s="26">
        <f>IF(B245&lt;'Умови та класичний графік'!$J$14,C246-1,"")</f>
        <v>50586</v>
      </c>
      <c r="F246" s="37">
        <f>IF(B245&lt;'Умови та класичний графік'!$J$14,E246-D246+1,"")</f>
        <v>30</v>
      </c>
      <c r="G246" s="86">
        <f>IF(B245&lt;'Умови та класичний графік'!$J$14,J246+K246+L246,"")</f>
        <v>64492.009132420062</v>
      </c>
      <c r="H246" s="87"/>
      <c r="I246" s="32">
        <f>IF(B245&lt;'Умови та класичний графік'!$J$14,I245-J246,"")</f>
        <v>1249999.9999999984</v>
      </c>
      <c r="J246" s="32">
        <f>IF(B245&lt;'Умови та класичний графік'!$J$14,J245,"")</f>
        <v>41666.666666666664</v>
      </c>
      <c r="K246" s="32">
        <f>IF(B245&lt;'Умови та класичний графік'!$J$14,((I245*'Умови та класичний графік'!$J$22)/365)*F246,"")</f>
        <v>22825.342465753401</v>
      </c>
      <c r="L246" s="30">
        <f>IF(B245&lt;'Умови та класичний графік'!$J$14,SUM(M246:V246),"")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графік'!$J$14,XIRR($G$36:G246,$C$36:C246,0),"")</f>
        <v>0.25394252441406251</v>
      </c>
      <c r="X246" s="42"/>
      <c r="Y246" s="35"/>
    </row>
    <row r="247" spans="2:25" x14ac:dyDescent="0.2">
      <c r="B247" s="25">
        <v>211</v>
      </c>
      <c r="C247" s="36">
        <f>IF(B246&lt;'Умови та класичний графік'!$J$14,EDATE(C246,1),"")</f>
        <v>50618</v>
      </c>
      <c r="D247" s="36">
        <f>IF(B246&lt;'Умови та класичний графік'!$J$14,C246,"")</f>
        <v>50587</v>
      </c>
      <c r="E247" s="26">
        <f>IF(B246&lt;'Умови та класичний графік'!$J$14,C247-1,"")</f>
        <v>50617</v>
      </c>
      <c r="F247" s="37">
        <f>IF(B246&lt;'Умови та класичний графік'!$J$14,E247-D247+1,"")</f>
        <v>31</v>
      </c>
      <c r="G247" s="86">
        <f>IF(B246&lt;'Умови та класичний графік'!$J$14,J247+K247+L247,"")</f>
        <v>64492.009132420062</v>
      </c>
      <c r="H247" s="87"/>
      <c r="I247" s="32">
        <f>IF(B246&lt;'Умови та класичний графік'!$J$14,I246-J247,"")</f>
        <v>1208333.3333333316</v>
      </c>
      <c r="J247" s="32">
        <f>IF(B246&lt;'Умови та класичний графік'!$J$14,J246,"")</f>
        <v>41666.666666666664</v>
      </c>
      <c r="K247" s="32">
        <f>IF(B246&lt;'Умови та класичний графік'!$J$14,((I246*'Умови та класичний графік'!$J$22)/365)*F247,"")</f>
        <v>22825.342465753394</v>
      </c>
      <c r="L247" s="30">
        <f>IF(B246&lt;'Умови та класичний графік'!$J$14,SUM(M247:V247),"")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графік'!$J$14,XIRR($G$36:G247,$C$36:C247,0),"")</f>
        <v>0.25398685058593751</v>
      </c>
      <c r="X247" s="42"/>
      <c r="Y247" s="35"/>
    </row>
    <row r="248" spans="2:25" x14ac:dyDescent="0.2">
      <c r="B248" s="25">
        <v>212</v>
      </c>
      <c r="C248" s="36">
        <f>IF(B247&lt;'Умови та класичний графік'!$J$14,EDATE(C247,1),"")</f>
        <v>50649</v>
      </c>
      <c r="D248" s="36">
        <f>IF(B247&lt;'Умови та класичний графік'!$J$14,C247,"")</f>
        <v>50618</v>
      </c>
      <c r="E248" s="26">
        <f>IF(B247&lt;'Умови та класичний графік'!$J$14,C248-1,"")</f>
        <v>50648</v>
      </c>
      <c r="F248" s="37">
        <f>IF(B247&lt;'Умови та класичний графік'!$J$14,E248-D248+1,"")</f>
        <v>31</v>
      </c>
      <c r="G248" s="86">
        <f>IF(B247&lt;'Умови та класичний графік'!$J$14,J248+K248+L248,"")</f>
        <v>63731.164383561612</v>
      </c>
      <c r="H248" s="87"/>
      <c r="I248" s="32">
        <f>IF(B247&lt;'Умови та класичний графік'!$J$14,I247-J248,"")</f>
        <v>1166666.6666666649</v>
      </c>
      <c r="J248" s="32">
        <f>IF(B247&lt;'Умови та класичний графік'!$J$14,J247,"")</f>
        <v>41666.666666666664</v>
      </c>
      <c r="K248" s="32">
        <f>IF(B247&lt;'Умови та класичний графік'!$J$14,((I247*'Умови та класичний графік'!$J$22)/365)*F248,"")</f>
        <v>22064.497716894944</v>
      </c>
      <c r="L248" s="30">
        <f>IF(B247&lt;'Умови та класичний графік'!$J$14,SUM(M248:V248),"")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графік'!$J$14,XIRR($G$36:G248,$C$36:C248,0),"")</f>
        <v>0.25402978027343748</v>
      </c>
      <c r="X248" s="42"/>
      <c r="Y248" s="35"/>
    </row>
    <row r="249" spans="2:25" x14ac:dyDescent="0.2">
      <c r="B249" s="25">
        <v>213</v>
      </c>
      <c r="C249" s="36">
        <f>IF(B248&lt;'Умови та класичний графік'!$J$14,EDATE(C248,1),"")</f>
        <v>50679</v>
      </c>
      <c r="D249" s="36">
        <f>IF(B248&lt;'Умови та класичний графік'!$J$14,C248,"")</f>
        <v>50649</v>
      </c>
      <c r="E249" s="26">
        <f>IF(B248&lt;'Умови та класичний графік'!$J$14,C249-1,"")</f>
        <v>50678</v>
      </c>
      <c r="F249" s="37">
        <f>IF(B248&lt;'Умови та класичний графік'!$J$14,E249-D249+1,"")</f>
        <v>30</v>
      </c>
      <c r="G249" s="86">
        <f>IF(B248&lt;'Умови та класичний графік'!$J$14,J249+K249+L249,"")</f>
        <v>62283.10502283102</v>
      </c>
      <c r="H249" s="87"/>
      <c r="I249" s="32">
        <f>IF(B248&lt;'Умови та класичний графік'!$J$14,I248-J249,"")</f>
        <v>1124999.9999999981</v>
      </c>
      <c r="J249" s="32">
        <f>IF(B248&lt;'Умови та класичний графік'!$J$14,J248,"")</f>
        <v>41666.666666666664</v>
      </c>
      <c r="K249" s="32">
        <f>IF(B248&lt;'Умови та класичний графік'!$J$14,((I248*'Умови та класичний графік'!$J$22)/365)*F249,"")</f>
        <v>20616.438356164352</v>
      </c>
      <c r="L249" s="30">
        <f>IF(B248&lt;'Умови та класичний графік'!$J$14,SUM(M249:V249),"")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графік'!$J$14,XIRR($G$36:G249,$C$36:C249,0),"")</f>
        <v>0.25407092285156252</v>
      </c>
      <c r="X249" s="42"/>
      <c r="Y249" s="35"/>
    </row>
    <row r="250" spans="2:25" x14ac:dyDescent="0.2">
      <c r="B250" s="25">
        <v>214</v>
      </c>
      <c r="C250" s="36">
        <f>IF(B249&lt;'Умови та класичний графік'!$J$14,EDATE(C249,1),"")</f>
        <v>50710</v>
      </c>
      <c r="D250" s="36">
        <f>IF(B249&lt;'Умови та класичний графік'!$J$14,C249,"")</f>
        <v>50679</v>
      </c>
      <c r="E250" s="26">
        <f>IF(B249&lt;'Умови та класичний графік'!$J$14,C250-1,"")</f>
        <v>50709</v>
      </c>
      <c r="F250" s="37">
        <f>IF(B249&lt;'Умови та класичний графік'!$J$14,E250-D250+1,"")</f>
        <v>31</v>
      </c>
      <c r="G250" s="86">
        <f>IF(B249&lt;'Умови та класичний графік'!$J$14,J250+K250+L250,"")</f>
        <v>62209.474885844713</v>
      </c>
      <c r="H250" s="87"/>
      <c r="I250" s="32">
        <f>IF(B249&lt;'Умови та класичний графік'!$J$14,I249-J250,"")</f>
        <v>1083333.3333333314</v>
      </c>
      <c r="J250" s="32">
        <f>IF(B249&lt;'Умови та класичний графік'!$J$14,J249,"")</f>
        <v>41666.666666666664</v>
      </c>
      <c r="K250" s="32">
        <f>IF(B249&lt;'Умови та класичний графік'!$J$14,((I249*'Умови та класичний графік'!$J$22)/365)*F250,"")</f>
        <v>20542.808219178049</v>
      </c>
      <c r="L250" s="30">
        <f>IF(B249&lt;'Умови та класичний графік'!$J$14,SUM(M250:V250),"")</f>
        <v>0</v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>
        <f>IF(B249&lt;'Умови та класичний графік'!$J$14,XIRR($G$36:G250,$C$36:C250,0),"")</f>
        <v>0.25411119628906254</v>
      </c>
      <c r="X250" s="42"/>
      <c r="Y250" s="35"/>
    </row>
    <row r="251" spans="2:25" x14ac:dyDescent="0.2">
      <c r="B251" s="25">
        <v>215</v>
      </c>
      <c r="C251" s="36">
        <f>IF(B250&lt;'Умови та класичний графік'!$J$14,EDATE(C250,1),"")</f>
        <v>50740</v>
      </c>
      <c r="D251" s="36">
        <f>IF(B250&lt;'Умови та класичний графік'!$J$14,C250,"")</f>
        <v>50710</v>
      </c>
      <c r="E251" s="26">
        <f>IF(B250&lt;'Умови та класичний графік'!$J$14,C251-1,"")</f>
        <v>50739</v>
      </c>
      <c r="F251" s="37">
        <f>IF(B250&lt;'Умови та класичний графік'!$J$14,E251-D251+1,"")</f>
        <v>30</v>
      </c>
      <c r="G251" s="86">
        <f>IF(B250&lt;'Умови та класичний графік'!$J$14,J251+K251+L251,"")</f>
        <v>60810.502283104986</v>
      </c>
      <c r="H251" s="87"/>
      <c r="I251" s="32">
        <f>IF(B250&lt;'Умови та класичний графік'!$J$14,I250-J251,"")</f>
        <v>1041666.6666666648</v>
      </c>
      <c r="J251" s="32">
        <f>IF(B250&lt;'Умови та класичний графік'!$J$14,J250,"")</f>
        <v>41666.666666666664</v>
      </c>
      <c r="K251" s="32">
        <f>IF(B250&lt;'Умови та класичний графік'!$J$14,((I250*'Умови та класичний графік'!$J$22)/365)*F251,"")</f>
        <v>19143.835616438322</v>
      </c>
      <c r="L251" s="30">
        <f>IF(B250&lt;'Умови та класичний графік'!$J$14,SUM(M251:V251),"")</f>
        <v>0</v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>
        <f>IF(B250&lt;'Умови та класичний графік'!$J$14,XIRR($G$36:G251,$C$36:C251,0),"")</f>
        <v>0.25414979980468744</v>
      </c>
      <c r="X251" s="42"/>
      <c r="Y251" s="35"/>
    </row>
    <row r="252" spans="2:25" x14ac:dyDescent="0.2">
      <c r="B252" s="25">
        <v>216</v>
      </c>
      <c r="C252" s="36">
        <f>IF(B251&lt;'Умови та класичний графік'!$J$14,EDATE(C251,1),"")</f>
        <v>50771</v>
      </c>
      <c r="D252" s="36">
        <f>IF(B251&lt;'Умови та класичний графік'!$J$14,C251,"")</f>
        <v>50740</v>
      </c>
      <c r="E252" s="26">
        <f>IF(B251&lt;'Умови та класичний графік'!$J$14,C252-1,"")</f>
        <v>50770</v>
      </c>
      <c r="F252" s="37">
        <f>IF(B251&lt;'Умови та класичний графік'!$J$14,E252-D252+1,"")</f>
        <v>31</v>
      </c>
      <c r="G252" s="86">
        <f>IF(B251&lt;'Умови та класичний графік'!$J$14,J252+K252+L252,"")</f>
        <v>104187.78538812781</v>
      </c>
      <c r="H252" s="87"/>
      <c r="I252" s="32">
        <f>IF(B251&lt;'Умови та класичний графік'!$J$14,I251-J252,"")</f>
        <v>999999.99999999814</v>
      </c>
      <c r="J252" s="32">
        <f>IF(B251&lt;'Умови та класичний графік'!$J$14,J251,"")</f>
        <v>41666.666666666664</v>
      </c>
      <c r="K252" s="32">
        <f>IF(B251&lt;'Умови та класичний графік'!$J$14,((I251*'Умови та класичний графік'!$J$22)/365)*F252,"")</f>
        <v>19021.118721461153</v>
      </c>
      <c r="L252" s="30">
        <f>IF(B251&lt;'Умови та класичний графік'!$J$14,SUM(M252:V252),"")</f>
        <v>43499.999999999993</v>
      </c>
      <c r="M252" s="38"/>
      <c r="N252" s="39"/>
      <c r="O252" s="39"/>
      <c r="P252" s="32"/>
      <c r="Q252" s="40"/>
      <c r="R252" s="40"/>
      <c r="S252" s="41"/>
      <c r="T252" s="41"/>
      <c r="U252" s="33">
        <f>IF(B251&lt;'Умови та класичний графік'!$J$14,('Умови та класичний графік'!$J$15*$N$20)+(I252*$N$21),"")</f>
        <v>43499.999999999993</v>
      </c>
      <c r="V252" s="41"/>
      <c r="W252" s="43">
        <f>IF(B251&lt;'Умови та класичний графік'!$J$14,XIRR($G$36:G252,$C$36:C252,0),"")</f>
        <v>0.25421461425781244</v>
      </c>
      <c r="X252" s="42"/>
      <c r="Y252" s="35"/>
    </row>
    <row r="253" spans="2:25" x14ac:dyDescent="0.2">
      <c r="B253" s="25">
        <v>217</v>
      </c>
      <c r="C253" s="36">
        <f>IF(B252&lt;'Умови та класичний графік'!$J$14,EDATE(C252,1),"")</f>
        <v>50802</v>
      </c>
      <c r="D253" s="36">
        <f>IF(B252&lt;'Умови та класичний графік'!$J$14,C252,"")</f>
        <v>50771</v>
      </c>
      <c r="E253" s="26">
        <f>IF(B252&lt;'Умови та класичний графік'!$J$14,C253-1,"")</f>
        <v>50801</v>
      </c>
      <c r="F253" s="37">
        <f>IF(B252&lt;'Умови та класичний графік'!$J$14,E253-D253+1,"")</f>
        <v>31</v>
      </c>
      <c r="G253" s="86">
        <f>IF(B252&lt;'Умови та класичний графік'!$J$14,J253+K253+L253,"")</f>
        <v>59926.940639269364</v>
      </c>
      <c r="H253" s="87"/>
      <c r="I253" s="32">
        <f>IF(B252&lt;'Умови та класичний графік'!$J$14,I252-J253,"")</f>
        <v>958333.33333333151</v>
      </c>
      <c r="J253" s="32">
        <f>IF(B252&lt;'Умови та класичний графік'!$J$14,J252,"")</f>
        <v>41666.666666666664</v>
      </c>
      <c r="K253" s="32">
        <f>IF(B252&lt;'Умови та класичний графік'!$J$14,((I252*'Умови та класичний графік'!$J$22)/365)*F253,"")</f>
        <v>18260.273972602703</v>
      </c>
      <c r="L253" s="30">
        <f>IF(B252&lt;'Умови та класичний графік'!$J$14,SUM(M253:V253),"")</f>
        <v>0</v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>
        <f>IF(B252&lt;'Умови та класичний графік'!$J$14,XIRR($G$36:G253,$C$36:C253,0),"")</f>
        <v>0.25425113769531249</v>
      </c>
      <c r="X253" s="42"/>
      <c r="Y253" s="35"/>
    </row>
    <row r="254" spans="2:25" x14ac:dyDescent="0.2">
      <c r="B254" s="25">
        <v>218</v>
      </c>
      <c r="C254" s="36">
        <f>IF(B253&lt;'Умови та класичний графік'!$J$14,EDATE(C253,1),"")</f>
        <v>50830</v>
      </c>
      <c r="D254" s="36">
        <f>IF(B253&lt;'Умови та класичний графік'!$J$14,C253,"")</f>
        <v>50802</v>
      </c>
      <c r="E254" s="26">
        <f>IF(B253&lt;'Умови та класичний графік'!$J$14,C254-1,"")</f>
        <v>50829</v>
      </c>
      <c r="F254" s="37">
        <f>IF(B253&lt;'Умови та класичний графік'!$J$14,E254-D254+1,"")</f>
        <v>28</v>
      </c>
      <c r="G254" s="86">
        <f>IF(B253&lt;'Умови та класичний графік'!$J$14,J254+K254+L254,"")</f>
        <v>57472.60273972599</v>
      </c>
      <c r="H254" s="87"/>
      <c r="I254" s="32">
        <f>IF(B253&lt;'Умови та класичний графік'!$J$14,I253-J254,"")</f>
        <v>916666.66666666488</v>
      </c>
      <c r="J254" s="32">
        <f>IF(B253&lt;'Умови та класичний графік'!$J$14,J253,"")</f>
        <v>41666.666666666664</v>
      </c>
      <c r="K254" s="32">
        <f>IF(B253&lt;'Умови та класичний графік'!$J$14,((I253*'Умови та класичний графік'!$J$22)/365)*F254,"")</f>
        <v>15805.936073059329</v>
      </c>
      <c r="L254" s="30">
        <f>IF(B253&lt;'Умови та класичний графік'!$J$14,SUM(M254:V254),"")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графік'!$J$14,XIRR($G$36:G254,$C$36:C254,0),"")</f>
        <v>0.25428553222656247</v>
      </c>
      <c r="X254" s="42"/>
      <c r="Y254" s="35"/>
    </row>
    <row r="255" spans="2:25" x14ac:dyDescent="0.2">
      <c r="B255" s="25">
        <v>219</v>
      </c>
      <c r="C255" s="36">
        <f>IF(B254&lt;'Умови та класичний графік'!$J$14,EDATE(C254,1),"")</f>
        <v>50861</v>
      </c>
      <c r="D255" s="36">
        <f>IF(B254&lt;'Умови та класичний графік'!$J$14,C254,"")</f>
        <v>50830</v>
      </c>
      <c r="E255" s="26">
        <f>IF(B254&lt;'Умови та класичний графік'!$J$14,C255-1,"")</f>
        <v>50860</v>
      </c>
      <c r="F255" s="37">
        <f>IF(B254&lt;'Умови та класичний графік'!$J$14,E255-D255+1,"")</f>
        <v>31</v>
      </c>
      <c r="G255" s="86">
        <f>IF(B254&lt;'Умови та класичний графік'!$J$14,J255+K255+L255,"")</f>
        <v>58405.251141552479</v>
      </c>
      <c r="H255" s="87"/>
      <c r="I255" s="32">
        <f>IF(B254&lt;'Умови та класичний графік'!$J$14,I254-J255,"")</f>
        <v>874999.99999999825</v>
      </c>
      <c r="J255" s="32">
        <f>IF(B254&lt;'Умови та класичний графік'!$J$14,J254,"")</f>
        <v>41666.666666666664</v>
      </c>
      <c r="K255" s="32">
        <f>IF(B254&lt;'Умови та класичний графік'!$J$14,((I254*'Умови та класичний графік'!$J$22)/365)*F255,"")</f>
        <v>16738.584474885811</v>
      </c>
      <c r="L255" s="30">
        <f>IF(B254&lt;'Умови та класичний графік'!$J$14,SUM(M255:V255),"")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графік'!$J$14,XIRR($G$36:G255,$C$36:C255,0),"")</f>
        <v>0.25431979003906258</v>
      </c>
      <c r="X255" s="42"/>
      <c r="Y255" s="35"/>
    </row>
    <row r="256" spans="2:25" x14ac:dyDescent="0.2">
      <c r="B256" s="25">
        <v>220</v>
      </c>
      <c r="C256" s="36">
        <f>IF(B255&lt;'Умови та класичний графік'!$J$14,EDATE(C255,1),"")</f>
        <v>50891</v>
      </c>
      <c r="D256" s="36">
        <f>IF(B255&lt;'Умови та класичний графік'!$J$14,C255,"")</f>
        <v>50861</v>
      </c>
      <c r="E256" s="26">
        <f>IF(B255&lt;'Умови та класичний графік'!$J$14,C256-1,"")</f>
        <v>50890</v>
      </c>
      <c r="F256" s="37">
        <f>IF(B255&lt;'Умови та класичний графік'!$J$14,E256-D256+1,"")</f>
        <v>30</v>
      </c>
      <c r="G256" s="86">
        <f>IF(B255&lt;'Умови та класичний графік'!$J$14,J256+K256+L256,"")</f>
        <v>57128.995433789918</v>
      </c>
      <c r="H256" s="87"/>
      <c r="I256" s="32">
        <f>IF(B255&lt;'Умови та класичний графік'!$J$14,I255-J256,"")</f>
        <v>833333.33333333163</v>
      </c>
      <c r="J256" s="32">
        <f>IF(B255&lt;'Умови та класичний графік'!$J$14,J255,"")</f>
        <v>41666.666666666664</v>
      </c>
      <c r="K256" s="32">
        <f>IF(B255&lt;'Умови та класичний графік'!$J$14,((I255*'Умови та класичний графік'!$J$22)/365)*F256,"")</f>
        <v>15462.328767123256</v>
      </c>
      <c r="L256" s="30">
        <f>IF(B255&lt;'Умови та класичний графік'!$J$14,SUM(M256:V256),"")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графік'!$J$14,XIRR($G$36:G256,$C$36:C256,0),"")</f>
        <v>0.25435266113281252</v>
      </c>
      <c r="X256" s="42"/>
      <c r="Y256" s="35"/>
    </row>
    <row r="257" spans="2:25" x14ac:dyDescent="0.2">
      <c r="B257" s="25">
        <v>221</v>
      </c>
      <c r="C257" s="36">
        <f>IF(B256&lt;'Умови та класичний графік'!$J$14,EDATE(C256,1),"")</f>
        <v>50922</v>
      </c>
      <c r="D257" s="36">
        <f>IF(B256&lt;'Умови та класичний графік'!$J$14,C256,"")</f>
        <v>50891</v>
      </c>
      <c r="E257" s="26">
        <f>IF(B256&lt;'Умови та класичний графік'!$J$14,C257-1,"")</f>
        <v>50921</v>
      </c>
      <c r="F257" s="37">
        <f>IF(B256&lt;'Умови та класичний графік'!$J$14,E257-D257+1,"")</f>
        <v>31</v>
      </c>
      <c r="G257" s="86">
        <f>IF(B256&lt;'Умови та класичний графік'!$J$14,J257+K257+L257,"")</f>
        <v>56883.561643835586</v>
      </c>
      <c r="H257" s="87"/>
      <c r="I257" s="32">
        <f>IF(B256&lt;'Умови та класичний графік'!$J$14,I256-J257,"")</f>
        <v>791666.666666665</v>
      </c>
      <c r="J257" s="32">
        <f>IF(B256&lt;'Умови та класичний графік'!$J$14,J256,"")</f>
        <v>41666.666666666664</v>
      </c>
      <c r="K257" s="32">
        <f>IF(B256&lt;'Умови та класичний графік'!$J$14,((I256*'Умови та класичний графік'!$J$22)/365)*F257,"")</f>
        <v>15216.89497716892</v>
      </c>
      <c r="L257" s="30">
        <f>IF(B256&lt;'Умови та класичний графік'!$J$14,SUM(M257:V257),"")</f>
        <v>0</v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>
        <f>IF(B256&lt;'Умови та класичний графік'!$J$14,XIRR($G$36:G257,$C$36:C257,0),"")</f>
        <v>0.25438474121093746</v>
      </c>
      <c r="X257" s="42"/>
      <c r="Y257" s="35"/>
    </row>
    <row r="258" spans="2:25" x14ac:dyDescent="0.2">
      <c r="B258" s="25">
        <v>222</v>
      </c>
      <c r="C258" s="36">
        <f>IF(B257&lt;'Умови та класичний графік'!$J$14,EDATE(C257,1),"")</f>
        <v>50952</v>
      </c>
      <c r="D258" s="36">
        <f>IF(B257&lt;'Умови та класичний графік'!$J$14,C257,"")</f>
        <v>50922</v>
      </c>
      <c r="E258" s="26">
        <f>IF(B257&lt;'Умови та класичний графік'!$J$14,C258-1,"")</f>
        <v>50951</v>
      </c>
      <c r="F258" s="37">
        <f>IF(B257&lt;'Умови та класичний графік'!$J$14,E258-D258+1,"")</f>
        <v>30</v>
      </c>
      <c r="G258" s="86">
        <f>IF(B257&lt;'Умови та класичний графік'!$J$14,J258+K258+L258,"")</f>
        <v>55656.392694063892</v>
      </c>
      <c r="H258" s="87"/>
      <c r="I258" s="32">
        <f>IF(B257&lt;'Умови та класичний графік'!$J$14,I257-J258,"")</f>
        <v>749999.99999999837</v>
      </c>
      <c r="J258" s="32">
        <f>IF(B257&lt;'Умови та класичний графік'!$J$14,J257,"")</f>
        <v>41666.666666666664</v>
      </c>
      <c r="K258" s="32">
        <f>IF(B257&lt;'Умови та класичний графік'!$J$14,((I257*'Умови та класичний графік'!$J$22)/365)*F258,"")</f>
        <v>13989.72602739723</v>
      </c>
      <c r="L258" s="30">
        <f>IF(B257&lt;'Умови та класичний графік'!$J$14,SUM(M258:V258),"")</f>
        <v>0</v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>
        <f>IF(B257&lt;'Умови та класичний графік'!$J$14,XIRR($G$36:G258,$C$36:C258,0),"")</f>
        <v>0.25441553222656244</v>
      </c>
      <c r="X258" s="42"/>
      <c r="Y258" s="35"/>
    </row>
    <row r="259" spans="2:25" x14ac:dyDescent="0.2">
      <c r="B259" s="25">
        <v>223</v>
      </c>
      <c r="C259" s="36">
        <f>IF(B258&lt;'Умови та класичний графік'!$J$14,EDATE(C258,1),"")</f>
        <v>50983</v>
      </c>
      <c r="D259" s="36">
        <f>IF(B258&lt;'Умови та класичний графік'!$J$14,C258,"")</f>
        <v>50952</v>
      </c>
      <c r="E259" s="26">
        <f>IF(B258&lt;'Умови та класичний графік'!$J$14,C259-1,"")</f>
        <v>50982</v>
      </c>
      <c r="F259" s="37">
        <f>IF(B258&lt;'Умови та класичний графік'!$J$14,E259-D259+1,"")</f>
        <v>31</v>
      </c>
      <c r="G259" s="86">
        <f>IF(B258&lt;'Умови та класичний графік'!$J$14,J259+K259+L259,"")</f>
        <v>55361.872146118687</v>
      </c>
      <c r="H259" s="87"/>
      <c r="I259" s="32">
        <f>IF(B258&lt;'Умови та класичний графік'!$J$14,I258-J259,"")</f>
        <v>708333.33333333174</v>
      </c>
      <c r="J259" s="32">
        <f>IF(B258&lt;'Умови та класичний графік'!$J$14,J258,"")</f>
        <v>41666.666666666664</v>
      </c>
      <c r="K259" s="32">
        <f>IF(B258&lt;'Умови та класичний графік'!$J$14,((I258*'Умови та класичний графік'!$J$22)/365)*F259,"")</f>
        <v>13695.205479452025</v>
      </c>
      <c r="L259" s="30">
        <f>IF(B258&lt;'Умови та класичний графік'!$J$14,SUM(M259:V259),"")</f>
        <v>0</v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>
        <f>IF(B258&lt;'Умови та класичний графік'!$J$14,XIRR($G$36:G259,$C$36:C259,0),"")</f>
        <v>0.2544455419921875</v>
      </c>
      <c r="X259" s="42"/>
      <c r="Y259" s="35"/>
    </row>
    <row r="260" spans="2:25" x14ac:dyDescent="0.2">
      <c r="B260" s="25">
        <v>224</v>
      </c>
      <c r="C260" s="36">
        <f>IF(B259&lt;'Умови та класичний графік'!$J$14,EDATE(C259,1),"")</f>
        <v>51014</v>
      </c>
      <c r="D260" s="36">
        <f>IF(B259&lt;'Умови та класичний графік'!$J$14,C259,"")</f>
        <v>50983</v>
      </c>
      <c r="E260" s="26">
        <f>IF(B259&lt;'Умови та класичний графік'!$J$14,C260-1,"")</f>
        <v>51013</v>
      </c>
      <c r="F260" s="37">
        <f>IF(B259&lt;'Умови та класичний графік'!$J$14,E260-D260+1,"")</f>
        <v>31</v>
      </c>
      <c r="G260" s="86">
        <f>IF(B259&lt;'Умови та класичний графік'!$J$14,J260+K260+L260,"")</f>
        <v>54601.027397260244</v>
      </c>
      <c r="H260" s="87"/>
      <c r="I260" s="32">
        <f>IF(B259&lt;'Умови та класичний графік'!$J$14,I259-J260,"")</f>
        <v>666666.66666666511</v>
      </c>
      <c r="J260" s="32">
        <f>IF(B259&lt;'Умови та класичний графік'!$J$14,J259,"")</f>
        <v>41666.666666666664</v>
      </c>
      <c r="K260" s="32">
        <f>IF(B259&lt;'Умови та класичний графік'!$J$14,((I259*'Умови та класичний графік'!$J$22)/365)*F260,"")</f>
        <v>12934.360730593577</v>
      </c>
      <c r="L260" s="30">
        <f>IF(B259&lt;'Умови та класичний графік'!$J$14,SUM(M260:V260),"")</f>
        <v>0</v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>
        <f>IF(B259&lt;'Умови та класичний графік'!$J$14,XIRR($G$36:G260,$C$36:C260,0),"")</f>
        <v>0.25447456542968749</v>
      </c>
      <c r="X260" s="42"/>
      <c r="Y260" s="35"/>
    </row>
    <row r="261" spans="2:25" x14ac:dyDescent="0.2">
      <c r="B261" s="25">
        <v>225</v>
      </c>
      <c r="C261" s="36">
        <f>IF(B260&lt;'Умови та класичний графік'!$J$14,EDATE(C260,1),"")</f>
        <v>51044</v>
      </c>
      <c r="D261" s="36">
        <f>IF(B260&lt;'Умови та класичний графік'!$J$14,C260,"")</f>
        <v>51014</v>
      </c>
      <c r="E261" s="26">
        <f>IF(B260&lt;'Умови та класичний графік'!$J$14,C261-1,"")</f>
        <v>51043</v>
      </c>
      <c r="F261" s="37">
        <f>IF(B260&lt;'Умови та класичний графік'!$J$14,E261-D261+1,"")</f>
        <v>30</v>
      </c>
      <c r="G261" s="86">
        <f>IF(B260&lt;'Умови та класичний графік'!$J$14,J261+K261+L261,"")</f>
        <v>53447.488584474857</v>
      </c>
      <c r="H261" s="87"/>
      <c r="I261" s="32">
        <f>IF(B260&lt;'Умови та класичний графік'!$J$14,I260-J261,"")</f>
        <v>624999.99999999849</v>
      </c>
      <c r="J261" s="32">
        <f>IF(B260&lt;'Умови та класичний графік'!$J$14,J260,"")</f>
        <v>41666.666666666664</v>
      </c>
      <c r="K261" s="32">
        <f>IF(B260&lt;'Умови та класичний графік'!$J$14,((I260*'Умови та класичний графік'!$J$22)/365)*F261,"")</f>
        <v>11780.821917808191</v>
      </c>
      <c r="L261" s="30">
        <f>IF(B260&lt;'Умови та класичний графік'!$J$14,SUM(M261:V261),"")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графік'!$J$14,XIRR($G$36:G261,$C$36:C261,0),"")</f>
        <v>0.25450242675781243</v>
      </c>
      <c r="X261" s="42"/>
      <c r="Y261" s="35"/>
    </row>
    <row r="262" spans="2:25" x14ac:dyDescent="0.2">
      <c r="B262" s="25">
        <v>226</v>
      </c>
      <c r="C262" s="36">
        <f>IF(B261&lt;'Умови та класичний графік'!$J$14,EDATE(C261,1),"")</f>
        <v>51075</v>
      </c>
      <c r="D262" s="36">
        <f>IF(B261&lt;'Умови та класичний графік'!$J$14,C261,"")</f>
        <v>51044</v>
      </c>
      <c r="E262" s="26">
        <f>IF(B261&lt;'Умови та класичний графік'!$J$14,C262-1,"")</f>
        <v>51074</v>
      </c>
      <c r="F262" s="37">
        <f>IF(B261&lt;'Умови та класичний графік'!$J$14,E262-D262+1,"")</f>
        <v>31</v>
      </c>
      <c r="G262" s="86">
        <f>IF(B261&lt;'Умови та класичний графік'!$J$14,J262+K262+L262,"")</f>
        <v>53079.337899543345</v>
      </c>
      <c r="H262" s="87"/>
      <c r="I262" s="32">
        <f>IF(B261&lt;'Умови та класичний графік'!$J$14,I261-J262,"")</f>
        <v>583333.33333333186</v>
      </c>
      <c r="J262" s="32">
        <f>IF(B261&lt;'Умови та класичний графік'!$J$14,J261,"")</f>
        <v>41666.666666666664</v>
      </c>
      <c r="K262" s="32">
        <f>IF(B261&lt;'Умови та класичний графік'!$J$14,((I261*'Умови та класичний графік'!$J$22)/365)*F262,"")</f>
        <v>11412.671232876684</v>
      </c>
      <c r="L262" s="30">
        <f>IF(B261&lt;'Умови та класичний графік'!$J$14,SUM(M262:V262),"")</f>
        <v>0</v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>
        <f>IF(B261&lt;'Умови та класичний графік'!$J$14,XIRR($G$36:G262,$C$36:C262,0),"")</f>
        <v>0.25452955566406243</v>
      </c>
      <c r="X262" s="42"/>
      <c r="Y262" s="35"/>
    </row>
    <row r="263" spans="2:25" x14ac:dyDescent="0.2">
      <c r="B263" s="25">
        <v>227</v>
      </c>
      <c r="C263" s="36">
        <f>IF(B262&lt;'Умови та класичний графік'!$J$14,EDATE(C262,1),"")</f>
        <v>51105</v>
      </c>
      <c r="D263" s="36">
        <f>IF(B262&lt;'Умови та класичний графік'!$J$14,C262,"")</f>
        <v>51075</v>
      </c>
      <c r="E263" s="26">
        <f>IF(B262&lt;'Умови та класичний графік'!$J$14,C263-1,"")</f>
        <v>51104</v>
      </c>
      <c r="F263" s="37">
        <f>IF(B262&lt;'Умови та класичний графік'!$J$14,E263-D263+1,"")</f>
        <v>30</v>
      </c>
      <c r="G263" s="86">
        <f>IF(B262&lt;'Умови та класичний графік'!$J$14,J263+K263+L263,"")</f>
        <v>51974.885844748831</v>
      </c>
      <c r="H263" s="87"/>
      <c r="I263" s="32">
        <f>IF(B262&lt;'Умови та класичний графік'!$J$14,I262-J263,"")</f>
        <v>541666.66666666523</v>
      </c>
      <c r="J263" s="32">
        <f>IF(B262&lt;'Умови та класичний графік'!$J$14,J262,"")</f>
        <v>41666.666666666664</v>
      </c>
      <c r="K263" s="32">
        <f>IF(B262&lt;'Умови та класичний графік'!$J$14,((I262*'Умови та класичний графік'!$J$22)/365)*F263,"")</f>
        <v>10308.219178082165</v>
      </c>
      <c r="L263" s="30">
        <f>IF(B262&lt;'Умови та класичний графік'!$J$14,SUM(M263:V263),"")</f>
        <v>0</v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>
        <f>IF(B262&lt;'Умови та класичний графік'!$J$14,XIRR($G$36:G263,$C$36:C263,0),"")</f>
        <v>0.25455561035156249</v>
      </c>
      <c r="X263" s="42"/>
      <c r="Y263" s="35"/>
    </row>
    <row r="264" spans="2:25" x14ac:dyDescent="0.2">
      <c r="B264" s="25">
        <v>228</v>
      </c>
      <c r="C264" s="36">
        <f>IF(B263&lt;'Умови та класичний графік'!$J$14,EDATE(C263,1),"")</f>
        <v>51136</v>
      </c>
      <c r="D264" s="36">
        <f>IF(B263&lt;'Умови та класичний графік'!$J$14,C263,"")</f>
        <v>51105</v>
      </c>
      <c r="E264" s="26">
        <f>IF(B263&lt;'Умови та класичний графік'!$J$14,C264-1,"")</f>
        <v>51135</v>
      </c>
      <c r="F264" s="37">
        <f>IF(B263&lt;'Умови та класичний графік'!$J$14,E264-D264+1,"")</f>
        <v>31</v>
      </c>
      <c r="G264" s="86">
        <f>IF(B263&lt;'Умови та класичний графік'!$J$14,J264+K264+L264,"")</f>
        <v>93557.648401826445</v>
      </c>
      <c r="H264" s="87"/>
      <c r="I264" s="32">
        <f>IF(B263&lt;'Умови та класичний графік'!$J$14,I263-J264,"")</f>
        <v>499999.99999999854</v>
      </c>
      <c r="J264" s="32">
        <f>IF(B263&lt;'Умови та класичний графік'!$J$14,J263,"")</f>
        <v>41666.666666666664</v>
      </c>
      <c r="K264" s="32">
        <f>IF(B263&lt;'Умови та класичний графік'!$J$14,((I263*'Умови та класичний графік'!$J$22)/365)*F264,"")</f>
        <v>9890.9817351597903</v>
      </c>
      <c r="L264" s="30">
        <f>IF(B263&lt;'Умови та класичний графік'!$J$14,SUM(M264:V264),"")</f>
        <v>41999.999999999993</v>
      </c>
      <c r="M264" s="38"/>
      <c r="N264" s="39"/>
      <c r="O264" s="39"/>
      <c r="P264" s="32"/>
      <c r="Q264" s="40"/>
      <c r="R264" s="40"/>
      <c r="S264" s="41"/>
      <c r="T264" s="41"/>
      <c r="U264" s="33">
        <f>IF(B263&lt;'Умови та класичний графік'!$J$14,('Умови та класичний графік'!$J$15*$N$20)+(I264*$N$21),"")</f>
        <v>41999.999999999993</v>
      </c>
      <c r="V264" s="41"/>
      <c r="W264" s="43">
        <f>IF(B263&lt;'Умови та класичний графік'!$J$14,XIRR($G$36:G264,$C$36:C264,0),"")</f>
        <v>0.25460157714843745</v>
      </c>
      <c r="X264" s="42"/>
      <c r="Y264" s="35"/>
    </row>
    <row r="265" spans="2:25" x14ac:dyDescent="0.2">
      <c r="B265" s="25">
        <v>229</v>
      </c>
      <c r="C265" s="36">
        <f>IF(B264&lt;'Умови та класичний графік'!$J$14,EDATE(C264,1),"")</f>
        <v>51167</v>
      </c>
      <c r="D265" s="36">
        <f>IF(B264&lt;'Умови та класичний графік'!$J$14,C264,"")</f>
        <v>51136</v>
      </c>
      <c r="E265" s="26">
        <f>IF(B264&lt;'Умови та класичний графік'!$J$14,C265-1,"")</f>
        <v>51166</v>
      </c>
      <c r="F265" s="37">
        <f>IF(B264&lt;'Умови та класичний графік'!$J$14,E265-D265+1,"")</f>
        <v>31</v>
      </c>
      <c r="G265" s="86">
        <f>IF(B264&lt;'Умови та класичний графік'!$J$14,J265+K265+L265,"")</f>
        <v>50796.80365296801</v>
      </c>
      <c r="H265" s="87"/>
      <c r="I265" s="32">
        <f>IF(B264&lt;'Умови та класичний графік'!$J$14,I264-J265,"")</f>
        <v>458333.33333333186</v>
      </c>
      <c r="J265" s="32">
        <f>IF(B264&lt;'Умови та класичний графік'!$J$14,J264,"")</f>
        <v>41666.666666666664</v>
      </c>
      <c r="K265" s="32">
        <f>IF(B264&lt;'Умови та класичний графік'!$J$14,((I264*'Умови та класичний графік'!$J$22)/365)*F265,"")</f>
        <v>9130.1369863013424</v>
      </c>
      <c r="L265" s="30">
        <f>IF(B264&lt;'Умови та класичний графік'!$J$14,SUM(M265:V265),"")</f>
        <v>0</v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>
        <f>IF(B264&lt;'Умови та класичний графік'!$J$14,XIRR($G$36:G265,$C$36:C265,0),"")</f>
        <v>0.25462603027343744</v>
      </c>
      <c r="X265" s="42"/>
      <c r="Y265" s="35"/>
    </row>
    <row r="266" spans="2:25" x14ac:dyDescent="0.2">
      <c r="B266" s="25">
        <v>230</v>
      </c>
      <c r="C266" s="36">
        <f>IF(B265&lt;'Умови та класичний графік'!$J$14,EDATE(C265,1),"")</f>
        <v>51196</v>
      </c>
      <c r="D266" s="36">
        <f>IF(B265&lt;'Умови та класичний графік'!$J$14,C265,"")</f>
        <v>51167</v>
      </c>
      <c r="E266" s="26">
        <f>IF(B265&lt;'Умови та класичний графік'!$J$14,C266-1,"")</f>
        <v>51195</v>
      </c>
      <c r="F266" s="37">
        <f>IF(B265&lt;'Умови та класичний графік'!$J$14,E266-D266+1,"")</f>
        <v>29</v>
      </c>
      <c r="G266" s="86">
        <f>IF(B265&lt;'Умови та класичний графік'!$J$14,J266+K266+L266,"")</f>
        <v>49496.004566210016</v>
      </c>
      <c r="H266" s="87"/>
      <c r="I266" s="32">
        <f>IF(B265&lt;'Умови та класичний графік'!$J$14,I265-J266,"")</f>
        <v>416666.66666666517</v>
      </c>
      <c r="J266" s="32">
        <f>IF(B265&lt;'Умови та класичний графік'!$J$14,J265,"")</f>
        <v>41666.666666666664</v>
      </c>
      <c r="K266" s="32">
        <f>IF(B265&lt;'Умови та класичний графік'!$J$14,((I265*'Умови та класичний графік'!$J$22)/365)*F266,"")</f>
        <v>7829.3378995433541</v>
      </c>
      <c r="L266" s="30">
        <f>IF(B265&lt;'Умови та класичний графік'!$J$14,SUM(M266:V266),"")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графік'!$J$14,XIRR($G$36:G266,$C$36:C266,0),"")</f>
        <v>0.25464942871093743</v>
      </c>
      <c r="X266" s="42"/>
      <c r="Y266" s="35"/>
    </row>
    <row r="267" spans="2:25" x14ac:dyDescent="0.2">
      <c r="B267" s="25">
        <v>231</v>
      </c>
      <c r="C267" s="36">
        <f>IF(B266&lt;'Умови та класичний графік'!$J$14,EDATE(C266,1),"")</f>
        <v>51227</v>
      </c>
      <c r="D267" s="36">
        <f>IF(B266&lt;'Умови та класичний графік'!$J$14,C266,"")</f>
        <v>51196</v>
      </c>
      <c r="E267" s="26">
        <f>IF(B266&lt;'Умови та класичний графік'!$J$14,C267-1,"")</f>
        <v>51226</v>
      </c>
      <c r="F267" s="37">
        <f>IF(B266&lt;'Умови та класичний графік'!$J$14,E267-D267+1,"")</f>
        <v>31</v>
      </c>
      <c r="G267" s="86">
        <f>IF(B266&lt;'Умови та класичний графік'!$J$14,J267+K267+L267,"")</f>
        <v>49275.114155251111</v>
      </c>
      <c r="H267" s="87"/>
      <c r="I267" s="32">
        <f>IF(B266&lt;'Умови та класичний графік'!$J$14,I266-J267,"")</f>
        <v>374999.99999999849</v>
      </c>
      <c r="J267" s="32">
        <f>IF(B266&lt;'Умови та класичний графік'!$J$14,J266,"")</f>
        <v>41666.666666666664</v>
      </c>
      <c r="K267" s="32">
        <f>IF(B266&lt;'Умови та класичний графік'!$J$14,((I266*'Умови та класичний графік'!$J$22)/365)*F267,"")</f>
        <v>7608.4474885844475</v>
      </c>
      <c r="L267" s="30">
        <f>IF(B266&lt;'Умови та класичний графік'!$J$14,SUM(M267:V267),"")</f>
        <v>0</v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>
        <f>IF(B266&lt;'Умови та класичний графік'!$J$14,XIRR($G$36:G267,$C$36:C267,0),"")</f>
        <v>0.25467226074218752</v>
      </c>
      <c r="X267" s="42"/>
      <c r="Y267" s="35"/>
    </row>
    <row r="268" spans="2:25" x14ac:dyDescent="0.2">
      <c r="B268" s="25">
        <v>232</v>
      </c>
      <c r="C268" s="36">
        <f>IF(B267&lt;'Умови та класичний графік'!$J$14,EDATE(C267,1),"")</f>
        <v>51257</v>
      </c>
      <c r="D268" s="36">
        <f>IF(B267&lt;'Умови та класичний графік'!$J$14,C267,"")</f>
        <v>51227</v>
      </c>
      <c r="E268" s="26">
        <f>IF(B267&lt;'Умови та класичний графік'!$J$14,C268-1,"")</f>
        <v>51256</v>
      </c>
      <c r="F268" s="37">
        <f>IF(B267&lt;'Умови та класичний графік'!$J$14,E268-D268+1,"")</f>
        <v>30</v>
      </c>
      <c r="G268" s="86">
        <f>IF(B267&lt;'Умови та класичний графік'!$J$14,J268+K268+L268,"")</f>
        <v>48293.378995433763</v>
      </c>
      <c r="H268" s="87"/>
      <c r="I268" s="32">
        <f>IF(B267&lt;'Умови та класичний графік'!$J$14,I267-J268,"")</f>
        <v>333333.3333333318</v>
      </c>
      <c r="J268" s="32">
        <f>IF(B267&lt;'Умови та класичний графік'!$J$14,J267,"")</f>
        <v>41666.666666666664</v>
      </c>
      <c r="K268" s="32">
        <f>IF(B267&lt;'Умови та класичний графік'!$J$14,((I267*'Умови та класичний графік'!$J$22)/365)*F268,"")</f>
        <v>6626.7123287670966</v>
      </c>
      <c r="L268" s="30">
        <f>IF(B267&lt;'Умови та класичний графік'!$J$14,SUM(M268:V268),"")</f>
        <v>0</v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>
        <f>IF(B267&lt;'Умови та класичний графік'!$J$14,XIRR($G$36:G268,$C$36:C268,0),"")</f>
        <v>0.25469420410156252</v>
      </c>
      <c r="X268" s="42"/>
      <c r="Y268" s="35"/>
    </row>
    <row r="269" spans="2:25" x14ac:dyDescent="0.2">
      <c r="B269" s="47">
        <v>233</v>
      </c>
      <c r="C269" s="36">
        <f>IF(B268&lt;'Умови та класичний графік'!$J$14,EDATE(C268,1),"")</f>
        <v>51288</v>
      </c>
      <c r="D269" s="36">
        <f>IF(B268&lt;'Умови та класичний графік'!$J$14,C268,"")</f>
        <v>51257</v>
      </c>
      <c r="E269" s="26">
        <f>IF(B268&lt;'Умови та класичний графік'!$J$14,C269-1,"")</f>
        <v>51287</v>
      </c>
      <c r="F269" s="37">
        <f>IF(B268&lt;'Умови та класичний графік'!$J$14,E269-D269+1,"")</f>
        <v>31</v>
      </c>
      <c r="G269" s="86">
        <f>IF(B268&lt;'Умови та класичний графік'!$J$14,J269+K269+L269,"")</f>
        <v>47753.424657534219</v>
      </c>
      <c r="H269" s="87"/>
      <c r="I269" s="32">
        <f>IF(B268&lt;'Умови та класичний графік'!$J$14,I268-J269,"")</f>
        <v>291666.66666666511</v>
      </c>
      <c r="J269" s="32">
        <f>IF(B268&lt;'Умови та класичний графік'!$J$14,J268,"")</f>
        <v>41666.666666666664</v>
      </c>
      <c r="K269" s="32">
        <f>IF(B268&lt;'Умови та класичний графік'!$J$14,((I268*'Умови та класичний графік'!$J$22)/365)*F269,"")</f>
        <v>6086.7579908675516</v>
      </c>
      <c r="L269" s="30">
        <f>IF(B268&lt;'Умови та класичний графік'!$J$14,SUM(M269:V269),"")</f>
        <v>0</v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>
        <f>IF(B268&lt;'Умови та класичний графік'!$J$14,XIRR($G$36:G269,$C$36:C269,0),"")</f>
        <v>0.25471548339843753</v>
      </c>
      <c r="X269" s="42"/>
      <c r="Y269" s="35"/>
    </row>
    <row r="270" spans="2:25" x14ac:dyDescent="0.2">
      <c r="B270" s="47">
        <v>234</v>
      </c>
      <c r="C270" s="36">
        <f>IF(B269&lt;'Умови та класичний графік'!$J$14,EDATE(C269,1),"")</f>
        <v>51318</v>
      </c>
      <c r="D270" s="36">
        <f>IF(B269&lt;'Умови та класичний графік'!$J$14,C269,"")</f>
        <v>51288</v>
      </c>
      <c r="E270" s="26">
        <f>IF(B269&lt;'Умови та класичний графік'!$J$14,C270-1,"")</f>
        <v>51317</v>
      </c>
      <c r="F270" s="37">
        <f>IF(B269&lt;'Умови та класичний графік'!$J$14,E270-D270+1,"")</f>
        <v>30</v>
      </c>
      <c r="G270" s="86">
        <f>IF(B269&lt;'Умови та класичний графік'!$J$14,J270+K270+L270,"")</f>
        <v>46820.776255707729</v>
      </c>
      <c r="H270" s="87"/>
      <c r="I270" s="32">
        <f>IF(B269&lt;'Умови та класичний графік'!$J$14,I269-J270,"")</f>
        <v>249999.99999999846</v>
      </c>
      <c r="J270" s="32">
        <f>IF(B269&lt;'Умови та класичний графік'!$J$14,J269,"")</f>
        <v>41666.666666666664</v>
      </c>
      <c r="K270" s="32">
        <f>IF(B269&lt;'Умови та класичний графік'!$J$14,((I269*'Умови та класичний графік'!$J$22)/365)*F270,"")</f>
        <v>5154.1095890410679</v>
      </c>
      <c r="L270" s="30">
        <f>IF(B269&lt;'Умови та класичний графік'!$J$14,SUM(M270:V270),"")</f>
        <v>0</v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>
        <f>IF(B269&lt;'Умови та класичний графік'!$J$14,XIRR($G$36:G270,$C$36:C270,0),"")</f>
        <v>0.25473595214843747</v>
      </c>
      <c r="X270" s="42"/>
      <c r="Y270" s="35"/>
    </row>
    <row r="271" spans="2:25" x14ac:dyDescent="0.2">
      <c r="B271" s="47">
        <v>235</v>
      </c>
      <c r="C271" s="36">
        <f>IF(B270&lt;'Умови та класичний графік'!$J$14,EDATE(C270,1),"")</f>
        <v>51349</v>
      </c>
      <c r="D271" s="36">
        <f>IF(B270&lt;'Умови та класичний графік'!$J$14,C270,"")</f>
        <v>51318</v>
      </c>
      <c r="E271" s="26">
        <f>IF(B270&lt;'Умови та класичний графік'!$J$14,C271-1,"")</f>
        <v>51348</v>
      </c>
      <c r="F271" s="37">
        <f>IF(B270&lt;'Умови та класичний графік'!$J$14,E271-D271+1,"")</f>
        <v>31</v>
      </c>
      <c r="G271" s="86">
        <f>IF(B270&lt;'Умови та класичний графік'!$J$14,J271+K271+L271,"")</f>
        <v>46231.735159817319</v>
      </c>
      <c r="H271" s="87"/>
      <c r="I271" s="32">
        <f>IF(B270&lt;'Умови та класичний графік'!$J$14,I270-J271,"")</f>
        <v>208333.3333333318</v>
      </c>
      <c r="J271" s="32">
        <f>IF(B270&lt;'Умови та класичний графік'!$J$14,J270,"")</f>
        <v>41666.666666666664</v>
      </c>
      <c r="K271" s="32">
        <f>IF(B270&lt;'Умови та класичний графік'!$J$14,((I270*'Умови та класичний графік'!$J$22)/365)*F271,"")</f>
        <v>4565.0684931506566</v>
      </c>
      <c r="L271" s="30">
        <f>IF(B270&lt;'Умови та класичний графік'!$J$14,SUM(M271:V271),"")</f>
        <v>0</v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>
        <f>IF(B270&lt;'Умови та класичний графік'!$J$14,XIRR($G$36:G271,$C$36:C271,0),"")</f>
        <v>0.25475576660156241</v>
      </c>
      <c r="X271" s="42"/>
      <c r="Y271" s="35"/>
    </row>
    <row r="272" spans="2:25" x14ac:dyDescent="0.2">
      <c r="B272" s="47">
        <v>236</v>
      </c>
      <c r="C272" s="36">
        <f>IF(B271&lt;'Умови та класичний графік'!$J$14,EDATE(C271,1),"")</f>
        <v>51380</v>
      </c>
      <c r="D272" s="36">
        <f>IF(B271&lt;'Умови та класичний графік'!$J$14,C271,"")</f>
        <v>51349</v>
      </c>
      <c r="E272" s="26">
        <f>IF(B271&lt;'Умови та класичний графік'!$J$14,C272-1,"")</f>
        <v>51379</v>
      </c>
      <c r="F272" s="37">
        <f>IF(B271&lt;'Умови та класичний графік'!$J$14,E272-D272+1,"")</f>
        <v>31</v>
      </c>
      <c r="G272" s="86">
        <f>IF(B271&lt;'Умови та класичний графік'!$J$14,J272+K272+L272,"")</f>
        <v>45470.890410958877</v>
      </c>
      <c r="H272" s="87"/>
      <c r="I272" s="32">
        <f>IF(B271&lt;'Умови та класичний графік'!$J$14,I271-J272,"")</f>
        <v>166666.66666666514</v>
      </c>
      <c r="J272" s="32">
        <f>IF(B271&lt;'Умови та класичний графік'!$J$14,J271,"")</f>
        <v>41666.666666666664</v>
      </c>
      <c r="K272" s="32">
        <f>IF(B271&lt;'Умови та класичний графік'!$J$14,((I271*'Умови та класичний графік'!$J$22)/365)*F272,"")</f>
        <v>3804.2237442922096</v>
      </c>
      <c r="L272" s="30">
        <f>IF(B271&lt;'Умови та класичний графік'!$J$14,SUM(M272:V272),"")</f>
        <v>0</v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>
        <f>IF(B271&lt;'Умови та класичний графік'!$J$14,XIRR($G$36:G272,$C$36:C272,0),"")</f>
        <v>0.25477487792968745</v>
      </c>
      <c r="X272" s="42"/>
      <c r="Y272" s="35"/>
    </row>
    <row r="273" spans="2:25" x14ac:dyDescent="0.2">
      <c r="B273" s="47">
        <v>237</v>
      </c>
      <c r="C273" s="36">
        <f>IF(B272&lt;'Умови та класичний графік'!$J$14,EDATE(C272,1),"")</f>
        <v>51410</v>
      </c>
      <c r="D273" s="36">
        <f>IF(B272&lt;'Умови та класичний графік'!$J$14,C272,"")</f>
        <v>51380</v>
      </c>
      <c r="E273" s="26">
        <f>IF(B272&lt;'Умови та класичний графік'!$J$14,C273-1,"")</f>
        <v>51409</v>
      </c>
      <c r="F273" s="37">
        <f>IF(B272&lt;'Умови та класичний графік'!$J$14,E273-D273+1,"")</f>
        <v>30</v>
      </c>
      <c r="G273" s="86">
        <f>IF(B272&lt;'Умови та класичний графік'!$J$14,J273+K273+L273,"")</f>
        <v>44611.872146118694</v>
      </c>
      <c r="H273" s="87"/>
      <c r="I273" s="32">
        <f>IF(B272&lt;'Умови та класичний графік'!$J$14,I272-J273,"")</f>
        <v>124999.99999999849</v>
      </c>
      <c r="J273" s="32">
        <f>IF(B272&lt;'Умови та класичний графік'!$J$14,J272,"")</f>
        <v>41666.666666666664</v>
      </c>
      <c r="K273" s="32">
        <f>IF(B272&lt;'Умови та класичний графік'!$J$14,((I272*'Умови та класичний графік'!$J$22)/365)*F273,"")</f>
        <v>2945.2054794520282</v>
      </c>
      <c r="L273" s="30">
        <f>IF(B272&lt;'Умови та класичний графік'!$J$14,SUM(M273:V273),"")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графік'!$J$14,XIRR($G$36:G273,$C$36:C273,0),"")</f>
        <v>0.25479326660156243</v>
      </c>
      <c r="X273" s="42"/>
      <c r="Y273" s="35"/>
    </row>
    <row r="274" spans="2:25" x14ac:dyDescent="0.2">
      <c r="B274" s="47">
        <v>238</v>
      </c>
      <c r="C274" s="36">
        <f>IF(B273&lt;'Умови та класичний графік'!$J$14,EDATE(C273,1),"")</f>
        <v>51441</v>
      </c>
      <c r="D274" s="36">
        <f>IF(B273&lt;'Умови та класичний графік'!$J$14,C273,"")</f>
        <v>51410</v>
      </c>
      <c r="E274" s="26">
        <f>IF(B273&lt;'Умови та класичний графік'!$J$14,C274-1,"")</f>
        <v>51440</v>
      </c>
      <c r="F274" s="37">
        <f>IF(B273&lt;'Умови та класичний графік'!$J$14,E274-D274+1,"")</f>
        <v>31</v>
      </c>
      <c r="G274" s="86">
        <f>IF(B273&lt;'Умови та класичний графік'!$J$14,J274+K274+L274,"")</f>
        <v>43949.200913241977</v>
      </c>
      <c r="H274" s="87"/>
      <c r="I274" s="32">
        <f>IF(B273&lt;'Умови та класичний графік'!$J$14,I273-J274,"")</f>
        <v>83333.33333333183</v>
      </c>
      <c r="J274" s="32">
        <f>IF(B273&lt;'Умови та класичний графік'!$J$14,J273,"")</f>
        <v>41666.666666666664</v>
      </c>
      <c r="K274" s="32">
        <f>IF(B273&lt;'Умови та класичний графік'!$J$14,((I273*'Умови та класичний графік'!$J$22)/365)*F274,"")</f>
        <v>2282.5342465753147</v>
      </c>
      <c r="L274" s="30">
        <f>IF(B273&lt;'Умови та класичний графік'!$J$14,SUM(M274:V274),"")</f>
        <v>0</v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>
        <f>IF(B273&lt;'Умови та класичний графік'!$J$14,XIRR($G$36:G274,$C$36:C274,0),"")</f>
        <v>0.25481103027343754</v>
      </c>
      <c r="X274" s="49"/>
      <c r="Y274" s="35"/>
    </row>
    <row r="275" spans="2:25" x14ac:dyDescent="0.2">
      <c r="B275" s="47">
        <v>239</v>
      </c>
      <c r="C275" s="36">
        <f>IF(B274&lt;'Умови та класичний графік'!$J$14,EDATE(C274,1),"")</f>
        <v>51471</v>
      </c>
      <c r="D275" s="36">
        <f>IF(B274&lt;'Умови та класичний графік'!$J$14,C274,"")</f>
        <v>51441</v>
      </c>
      <c r="E275" s="26">
        <f>IF(B274&lt;'Умови та класичний графік'!$J$14,C275-1,"")</f>
        <v>51470</v>
      </c>
      <c r="F275" s="37">
        <f>IF(B274&lt;'Умови та класичний графік'!$J$14,E275-D275+1,"")</f>
        <v>30</v>
      </c>
      <c r="G275" s="86">
        <f>IF(B274&lt;'Умови та класичний графік'!$J$14,J275+K275+L275,"")</f>
        <v>43139.269406392668</v>
      </c>
      <c r="H275" s="87"/>
      <c r="I275" s="32">
        <f>IF(B274&lt;'Умови та класичний графік'!$J$14,I274-J275,"")</f>
        <v>41666.666666665165</v>
      </c>
      <c r="J275" s="32">
        <f>IF(B274&lt;'Умови та класичний графік'!$J$14,J274,"")</f>
        <v>41666.666666666664</v>
      </c>
      <c r="K275" s="32">
        <f>IF(B274&lt;'Умови та класичний графік'!$J$14,((I274*'Умови та класичний графік'!$J$22)/365)*F275,"")</f>
        <v>1472.6027397260009</v>
      </c>
      <c r="L275" s="30">
        <f>IF(B274&lt;'Умови та класичний графік'!$J$14,SUM(M275:V275),"")</f>
        <v>0</v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>
        <f>IF(B274&lt;'Умови та класичний графік'!$J$14,XIRR($G$36:G275,$C$36:C275,0),"")</f>
        <v>0.25482813964843742</v>
      </c>
      <c r="X275" s="49"/>
      <c r="Y275" s="35"/>
    </row>
    <row r="276" spans="2:25" x14ac:dyDescent="0.2">
      <c r="B276" s="47">
        <v>240</v>
      </c>
      <c r="C276" s="36">
        <f>IF(B275&lt;'Умови та класичний графік'!$J$14,EDATE(C275,1),"")</f>
        <v>51502</v>
      </c>
      <c r="D276" s="36">
        <f>IF(B275&lt;'Умови та класичний графік'!$J$14,C275,"")</f>
        <v>51471</v>
      </c>
      <c r="E276" s="26">
        <f>IF(B275&lt;'Умови та класичний графік'!$J$14,C276-1,"")</f>
        <v>51501</v>
      </c>
      <c r="F276" s="37">
        <f>IF(B275&lt;'Умови та класичний графік'!$J$14,E276-D276+1,"")</f>
        <v>31</v>
      </c>
      <c r="G276" s="86">
        <f>IF(B275&lt;'Умови та класичний графік'!$J$14,J276+K276+L276,"")</f>
        <v>42427.511415525085</v>
      </c>
      <c r="H276" s="87"/>
      <c r="I276" s="32">
        <f>IF(B275&lt;'Умови та класичний графік'!$J$14,I275-J276,"")</f>
        <v>-1.4988472685217857E-9</v>
      </c>
      <c r="J276" s="32">
        <f>IF(B275&lt;'Умови та класичний графік'!$J$14,J275,"")</f>
        <v>41666.666666666664</v>
      </c>
      <c r="K276" s="32">
        <f>IF(B275&lt;'Умови та класичний графік'!$J$14,((I275*'Умови та класичний графік'!$J$22)/365)*F276,"")</f>
        <v>760.84474885841996</v>
      </c>
      <c r="L276" s="30">
        <f>IF(B275&lt;'Умови та класичний графік'!$J$14,SUM(M276:V276),"")</f>
        <v>0</v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>
        <f>IF(B275&lt;'Умови та класичний графік'!$J$14,XIRR($G$36:G276,$C$36:C276,0),"")</f>
        <v>0.25484463378906252</v>
      </c>
      <c r="X276" s="49"/>
      <c r="Y276" s="35"/>
    </row>
    <row r="277" spans="2:25" x14ac:dyDescent="0.2">
      <c r="B277" s="25"/>
      <c r="C277" s="88" t="s">
        <v>25</v>
      </c>
      <c r="D277" s="88"/>
      <c r="E277" s="88"/>
      <c r="F277" s="88"/>
      <c r="G277" s="89">
        <f>SUM(G37:H276)</f>
        <v>32652550.799086776</v>
      </c>
      <c r="H277" s="90"/>
      <c r="I277" s="50" t="s">
        <v>24</v>
      </c>
      <c r="J277" s="50">
        <f>SUM(J37:J276)</f>
        <v>10000000.000000002</v>
      </c>
      <c r="K277" s="50">
        <f t="shared" ref="K277" si="4">SUM(K36:K276)</f>
        <v>21598050.799086772</v>
      </c>
      <c r="L277" s="51">
        <f>SUM(L36:L276)</f>
        <v>1293750.0000000002</v>
      </c>
      <c r="M277" s="52">
        <f t="shared" ref="M277:V277" si="5">SUM(M36:M276)</f>
        <v>0</v>
      </c>
      <c r="N277" s="50">
        <f t="shared" si="5"/>
        <v>100</v>
      </c>
      <c r="O277" s="50">
        <f t="shared" si="5"/>
        <v>150000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18500</v>
      </c>
      <c r="T277" s="53">
        <f t="shared" si="5"/>
        <v>0</v>
      </c>
      <c r="U277" s="53">
        <f t="shared" si="5"/>
        <v>1125000.0000000002</v>
      </c>
      <c r="V277" s="53">
        <f t="shared" si="5"/>
        <v>150</v>
      </c>
      <c r="W277" s="43" t="str">
        <f>IF(B276&lt;'Умови та класичний графік'!$J$14,XIRR($G$36:G277,$C$36:C277,0),"")</f>
        <v/>
      </c>
      <c r="X277" s="50">
        <f>K277+L277</f>
        <v>22891800.799086772</v>
      </c>
      <c r="Y277" s="54">
        <f>X277+'Умови та класичний графік'!J13</f>
        <v>32891800.799086772</v>
      </c>
    </row>
    <row r="278" spans="2:25" s="57" customFormat="1" ht="13.7" customHeight="1" x14ac:dyDescent="0.2">
      <c r="B278" s="5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9"/>
      <c r="V278" s="56"/>
    </row>
    <row r="279" spans="2:25" s="57" customFormat="1" x14ac:dyDescent="0.2">
      <c r="B279" s="5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9"/>
      <c r="V279" s="56"/>
    </row>
  </sheetData>
  <sheetProtection algorithmName="SHA-512" hashValue="mpTtFgm12mxU2FaQPkoNPW5/IAUa5fNXDY4diYmOCRAt8oxFU6dbapoHXL2D0gft9XYvTcIB4Ju2f3m/bHxY8w==" saltValue="KdrXPs2V9idCVxw+XFXFAQ==" spinCount="100000" sheet="1" objects="1" scenarios="1"/>
  <protectedRanges>
    <protectedRange sqref="J13:K15" name="Параметри кредиту_1"/>
  </protectedRanges>
  <autoFilter ref="B35:X279" xr:uid="{9F976E4A-E8F9-4CCB-89B6-352916A89167}">
    <filterColumn colId="5" showButton="0"/>
  </autoFilter>
  <mergeCells count="316">
    <mergeCell ref="G25:N25"/>
    <mergeCell ref="O21:U21"/>
    <mergeCell ref="L13:M13"/>
    <mergeCell ref="J13:K13"/>
    <mergeCell ref="G17:I17"/>
    <mergeCell ref="J17:K17"/>
    <mergeCell ref="J18:K18"/>
    <mergeCell ref="G18:I18"/>
    <mergeCell ref="G13:I13"/>
    <mergeCell ref="G19:I19"/>
    <mergeCell ref="J19:K19"/>
    <mergeCell ref="L15:M15"/>
    <mergeCell ref="L17:M17"/>
    <mergeCell ref="L18:M18"/>
    <mergeCell ref="G16:I16"/>
    <mergeCell ref="J16:K16"/>
    <mergeCell ref="L19:M19"/>
    <mergeCell ref="L16:M16"/>
    <mergeCell ref="J14:K14"/>
    <mergeCell ref="G238:H238"/>
    <mergeCell ref="G239:H239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W31:W34"/>
    <mergeCell ref="C7:E7"/>
    <mergeCell ref="F7:G7"/>
    <mergeCell ref="J20:K20"/>
    <mergeCell ref="J21:K21"/>
    <mergeCell ref="G21:I21"/>
    <mergeCell ref="G23:J23"/>
    <mergeCell ref="G29:N29"/>
    <mergeCell ref="N13:U13"/>
    <mergeCell ref="N14:U14"/>
    <mergeCell ref="N15:U15"/>
    <mergeCell ref="N16:U16"/>
    <mergeCell ref="N17:U17"/>
    <mergeCell ref="N18:U18"/>
    <mergeCell ref="N19:U19"/>
    <mergeCell ref="J15:K15"/>
    <mergeCell ref="G22:I22"/>
    <mergeCell ref="J22:K22"/>
    <mergeCell ref="L14:M14"/>
    <mergeCell ref="N22:U22"/>
    <mergeCell ref="L20:M20"/>
    <mergeCell ref="L21:M21"/>
    <mergeCell ref="L22:M22"/>
    <mergeCell ref="O20:U20"/>
    <mergeCell ref="G35:H35"/>
    <mergeCell ref="T10:U10"/>
    <mergeCell ref="X31:X34"/>
    <mergeCell ref="B31:B34"/>
    <mergeCell ref="C31:C34"/>
    <mergeCell ref="F31:F34"/>
    <mergeCell ref="G31:H34"/>
    <mergeCell ref="D31:E33"/>
    <mergeCell ref="C8:E8"/>
    <mergeCell ref="F8:G8"/>
    <mergeCell ref="K32:K34"/>
    <mergeCell ref="G20:I20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4:I14"/>
    <mergeCell ref="G15:I15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B3:M6"/>
    <mergeCell ref="B9:M9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</mergeCells>
  <conditionalFormatting sqref="J14:K14">
    <cfRule type="cellIs" dxfId="13" priority="8" operator="lessThan">
      <formula>12</formula>
    </cfRule>
    <cfRule type="cellIs" dxfId="12" priority="9" operator="greaterThan">
      <formula>240</formula>
    </cfRule>
    <cfRule type="cellIs" dxfId="11" priority="10" operator="between">
      <formula>11.9</formula>
      <formula>240</formula>
    </cfRule>
  </conditionalFormatting>
  <conditionalFormatting sqref="J13:K13">
    <cfRule type="cellIs" dxfId="10" priority="3" operator="greaterThan">
      <formula>$J$15-$J$15*25%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pageMargins left="0.39370078740157483" right="0.39370078740157483" top="0.19685039370078741" bottom="0.27559055118110237" header="0.35433070866141736" footer="0.27559055118110237"/>
  <pageSetup paperSize="9" scale="48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view="pageBreakPreview" topLeftCell="J1" zoomScale="85" zoomScaleNormal="85" zoomScaleSheetLayoutView="85" workbookViewId="0">
      <selection activeCell="B3" sqref="B3:P6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82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24" ht="12.7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24" ht="12.75" customHeight="1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0"/>
      <c r="R6" s="60"/>
      <c r="S6" s="60"/>
      <c r="T6" s="60"/>
      <c r="U6" s="60"/>
      <c r="V6" s="60"/>
      <c r="W6" s="60"/>
      <c r="X6" s="60"/>
    </row>
    <row r="7" spans="2:24" ht="21" x14ac:dyDescent="0.35">
      <c r="B7" s="83" t="s">
        <v>40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61"/>
      <c r="O7" s="61"/>
      <c r="P7" s="6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91"/>
      <c r="U8" s="91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192" t="s">
        <v>1</v>
      </c>
      <c r="H11" s="193"/>
      <c r="I11" s="194"/>
      <c r="J11" s="195">
        <f>'Умови та класичний графік'!J13:K13</f>
        <v>10000000</v>
      </c>
      <c r="K11" s="196"/>
      <c r="L11" s="197" t="s">
        <v>10</v>
      </c>
      <c r="M11" s="198"/>
      <c r="N11" s="199" t="s">
        <v>54</v>
      </c>
      <c r="O11" s="200"/>
      <c r="P11" s="200"/>
      <c r="Q11" s="200"/>
      <c r="R11" s="200"/>
      <c r="S11" s="200"/>
      <c r="T11" s="200"/>
      <c r="U11" s="201"/>
      <c r="V11" s="64"/>
    </row>
    <row r="12" spans="2:24" ht="12.75" hidden="1" customHeight="1" x14ac:dyDescent="0.2">
      <c r="G12" s="160" t="s">
        <v>2</v>
      </c>
      <c r="H12" s="161"/>
      <c r="I12" s="179"/>
      <c r="J12" s="202">
        <f>'Умови та класичний графік'!J14:K14</f>
        <v>240</v>
      </c>
      <c r="K12" s="203"/>
      <c r="L12" s="182" t="s">
        <v>3</v>
      </c>
      <c r="M12" s="183"/>
      <c r="N12" s="184" t="s">
        <v>34</v>
      </c>
      <c r="O12" s="185"/>
      <c r="P12" s="185"/>
      <c r="Q12" s="185"/>
      <c r="R12" s="185"/>
      <c r="S12" s="185"/>
      <c r="T12" s="185"/>
      <c r="U12" s="186"/>
      <c r="V12" s="64"/>
    </row>
    <row r="13" spans="2:24" ht="12.75" hidden="1" customHeight="1" x14ac:dyDescent="0.2">
      <c r="G13" s="160" t="s">
        <v>55</v>
      </c>
      <c r="H13" s="161"/>
      <c r="I13" s="179"/>
      <c r="J13" s="190">
        <f>'Умови та класичний графік'!J15:K15</f>
        <v>13500000</v>
      </c>
      <c r="K13" s="191"/>
      <c r="L13" s="182" t="s">
        <v>10</v>
      </c>
      <c r="M13" s="183"/>
      <c r="N13" s="184"/>
      <c r="O13" s="185"/>
      <c r="P13" s="185"/>
      <c r="Q13" s="185"/>
      <c r="R13" s="185"/>
      <c r="S13" s="185"/>
      <c r="T13" s="185"/>
      <c r="U13" s="186"/>
      <c r="V13" s="64"/>
    </row>
    <row r="14" spans="2:24" ht="12.75" hidden="1" customHeight="1" x14ac:dyDescent="0.2">
      <c r="G14" s="160" t="s">
        <v>31</v>
      </c>
      <c r="H14" s="161"/>
      <c r="I14" s="179"/>
      <c r="J14" s="180">
        <f>J11*1.5%</f>
        <v>150000</v>
      </c>
      <c r="K14" s="181"/>
      <c r="L14" s="182" t="s">
        <v>10</v>
      </c>
      <c r="M14" s="183"/>
      <c r="N14" s="187" t="s">
        <v>43</v>
      </c>
      <c r="O14" s="188"/>
      <c r="P14" s="188"/>
      <c r="Q14" s="188"/>
      <c r="R14" s="188"/>
      <c r="S14" s="188"/>
      <c r="T14" s="188"/>
      <c r="U14" s="189"/>
      <c r="V14" s="64"/>
    </row>
    <row r="15" spans="2:24" ht="13.5" hidden="1" customHeight="1" x14ac:dyDescent="0.2">
      <c r="G15" s="160" t="s">
        <v>32</v>
      </c>
      <c r="H15" s="161"/>
      <c r="I15" s="179"/>
      <c r="J15" s="180">
        <v>100</v>
      </c>
      <c r="K15" s="181"/>
      <c r="L15" s="182" t="s">
        <v>10</v>
      </c>
      <c r="M15" s="183"/>
      <c r="N15" s="184" t="s">
        <v>37</v>
      </c>
      <c r="O15" s="185"/>
      <c r="P15" s="185"/>
      <c r="Q15" s="185"/>
      <c r="R15" s="185"/>
      <c r="S15" s="185"/>
      <c r="T15" s="185"/>
      <c r="U15" s="186"/>
    </row>
    <row r="16" spans="2:24" ht="13.5" hidden="1" customHeight="1" x14ac:dyDescent="0.2">
      <c r="G16" s="160" t="s">
        <v>57</v>
      </c>
      <c r="H16" s="161"/>
      <c r="I16" s="179"/>
      <c r="J16" s="180">
        <f>J13*0.1%+5000</f>
        <v>18500</v>
      </c>
      <c r="K16" s="181"/>
      <c r="L16" s="182" t="s">
        <v>10</v>
      </c>
      <c r="M16" s="183"/>
      <c r="N16" s="187" t="s">
        <v>41</v>
      </c>
      <c r="O16" s="188"/>
      <c r="P16" s="188"/>
      <c r="Q16" s="188"/>
      <c r="R16" s="188"/>
      <c r="S16" s="188"/>
      <c r="T16" s="188"/>
      <c r="U16" s="189"/>
    </row>
    <row r="17" spans="2:25" ht="12.75" hidden="1" customHeight="1" x14ac:dyDescent="0.2">
      <c r="G17" s="204" t="s">
        <v>33</v>
      </c>
      <c r="H17" s="205"/>
      <c r="I17" s="206"/>
      <c r="J17" s="207">
        <v>150</v>
      </c>
      <c r="K17" s="208"/>
      <c r="L17" s="209" t="s">
        <v>10</v>
      </c>
      <c r="M17" s="210"/>
      <c r="N17" s="184" t="s">
        <v>35</v>
      </c>
      <c r="O17" s="185"/>
      <c r="P17" s="185"/>
      <c r="Q17" s="185"/>
      <c r="R17" s="185"/>
      <c r="S17" s="185"/>
      <c r="T17" s="185"/>
      <c r="U17" s="186"/>
    </row>
    <row r="18" spans="2:25" ht="12.75" hidden="1" customHeight="1" x14ac:dyDescent="0.2">
      <c r="G18" s="160" t="s">
        <v>58</v>
      </c>
      <c r="H18" s="161"/>
      <c r="I18" s="162"/>
      <c r="J18" s="163">
        <f>J13*N18</f>
        <v>40500</v>
      </c>
      <c r="K18" s="164"/>
      <c r="L18" s="165" t="s">
        <v>10</v>
      </c>
      <c r="M18" s="166"/>
      <c r="N18" s="68">
        <v>3.0000000000000001E-3</v>
      </c>
      <c r="O18" s="167" t="s">
        <v>59</v>
      </c>
      <c r="P18" s="167"/>
      <c r="Q18" s="167"/>
      <c r="R18" s="167"/>
      <c r="S18" s="167"/>
      <c r="T18" s="167"/>
      <c r="U18" s="168"/>
      <c r="V18" s="59"/>
    </row>
    <row r="19" spans="2:25" ht="12.75" hidden="1" customHeight="1" x14ac:dyDescent="0.2">
      <c r="G19" s="160" t="s">
        <v>38</v>
      </c>
      <c r="H19" s="161"/>
      <c r="I19" s="162"/>
      <c r="J19" s="163">
        <f>J11*0.3%</f>
        <v>30000</v>
      </c>
      <c r="K19" s="164"/>
      <c r="L19" s="165" t="s">
        <v>10</v>
      </c>
      <c r="M19" s="166"/>
      <c r="N19" s="68">
        <v>3.0000000000000001E-3</v>
      </c>
      <c r="O19" s="167" t="s">
        <v>60</v>
      </c>
      <c r="P19" s="167"/>
      <c r="Q19" s="167"/>
      <c r="R19" s="167"/>
      <c r="S19" s="167"/>
      <c r="T19" s="167"/>
      <c r="U19" s="168"/>
      <c r="V19" s="59"/>
    </row>
    <row r="20" spans="2:25" ht="12.75" hidden="1" customHeight="1" thickBot="1" x14ac:dyDescent="0.25">
      <c r="G20" s="169" t="s">
        <v>56</v>
      </c>
      <c r="H20" s="170"/>
      <c r="I20" s="171"/>
      <c r="J20" s="172">
        <f>'Умови та класичний графік'!J22:K22</f>
        <v>0.215</v>
      </c>
      <c r="K20" s="173"/>
      <c r="L20" s="174" t="s">
        <v>4</v>
      </c>
      <c r="M20" s="175"/>
      <c r="N20" s="176" t="s">
        <v>47</v>
      </c>
      <c r="O20" s="177"/>
      <c r="P20" s="177"/>
      <c r="Q20" s="177"/>
      <c r="R20" s="177"/>
      <c r="S20" s="177"/>
      <c r="T20" s="177"/>
      <c r="U20" s="178"/>
      <c r="V20" s="59"/>
    </row>
    <row r="21" spans="2:25" ht="12.75" hidden="1" customHeight="1" x14ac:dyDescent="0.2">
      <c r="G21" s="156" t="s">
        <v>42</v>
      </c>
      <c r="H21" s="156"/>
      <c r="I21" s="156"/>
      <c r="J21" s="156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hidden="1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16" t="s">
        <v>61</v>
      </c>
      <c r="H23" s="116"/>
      <c r="I23" s="116"/>
      <c r="J23" s="116"/>
      <c r="K23" s="116"/>
      <c r="L23" s="116"/>
      <c r="M23" s="116"/>
      <c r="N23" s="116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157" t="s">
        <v>46</v>
      </c>
      <c r="H24" s="158"/>
      <c r="I24" s="158"/>
      <c r="J24" s="158"/>
      <c r="K24" s="158"/>
      <c r="L24" s="158"/>
      <c r="M24" s="158"/>
      <c r="N24" s="159"/>
      <c r="O24" s="74">
        <f>MAX(W38:W275)</f>
        <v>0.25244638183593748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157" t="s">
        <v>39</v>
      </c>
      <c r="H25" s="158"/>
      <c r="I25" s="158"/>
      <c r="J25" s="158"/>
      <c r="K25" s="158"/>
      <c r="L25" s="158"/>
      <c r="M25" s="158"/>
      <c r="N25" s="159"/>
      <c r="O25" s="76">
        <f>J14+J15+J16+J17+J18+J19</f>
        <v>239250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57" t="s">
        <v>44</v>
      </c>
      <c r="H26" s="158"/>
      <c r="I26" s="158"/>
      <c r="J26" s="158"/>
      <c r="K26" s="158"/>
      <c r="L26" s="158"/>
      <c r="M26" s="158"/>
      <c r="N26" s="159"/>
      <c r="O26" s="76">
        <f>X275</f>
        <v>35075765.529927209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57" t="s">
        <v>45</v>
      </c>
      <c r="H27" s="158"/>
      <c r="I27" s="158"/>
      <c r="J27" s="158"/>
      <c r="K27" s="158"/>
      <c r="L27" s="158"/>
      <c r="M27" s="158"/>
      <c r="N27" s="159"/>
      <c r="O27" s="76">
        <f>Y275</f>
        <v>45075765.529927209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84" t="s">
        <v>36</v>
      </c>
      <c r="C29" s="84" t="s">
        <v>26</v>
      </c>
      <c r="D29" s="84" t="s">
        <v>6</v>
      </c>
      <c r="E29" s="84"/>
      <c r="F29" s="92" t="s">
        <v>12</v>
      </c>
      <c r="G29" s="95" t="s">
        <v>48</v>
      </c>
      <c r="H29" s="96"/>
      <c r="I29" s="113" t="s">
        <v>29</v>
      </c>
      <c r="J29" s="106" t="s">
        <v>11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13" t="s">
        <v>49</v>
      </c>
      <c r="X29" s="84" t="s">
        <v>50</v>
      </c>
      <c r="Y29" s="84" t="s">
        <v>51</v>
      </c>
    </row>
    <row r="30" spans="2:25" s="9" customFormat="1" ht="12.75" customHeight="1" x14ac:dyDescent="0.2">
      <c r="B30" s="84"/>
      <c r="C30" s="84"/>
      <c r="D30" s="84"/>
      <c r="E30" s="84"/>
      <c r="F30" s="93"/>
      <c r="G30" s="97"/>
      <c r="H30" s="98"/>
      <c r="I30" s="114"/>
      <c r="J30" s="101" t="s">
        <v>53</v>
      </c>
      <c r="K30" s="101" t="s">
        <v>52</v>
      </c>
      <c r="L30" s="153" t="s">
        <v>30</v>
      </c>
      <c r="M30" s="107" t="s">
        <v>13</v>
      </c>
      <c r="N30" s="108"/>
      <c r="O30" s="108"/>
      <c r="P30" s="108"/>
      <c r="Q30" s="108"/>
      <c r="R30" s="108"/>
      <c r="S30" s="108"/>
      <c r="T30" s="108"/>
      <c r="U30" s="108"/>
      <c r="V30" s="109"/>
      <c r="W30" s="114"/>
      <c r="X30" s="84"/>
      <c r="Y30" s="84"/>
    </row>
    <row r="31" spans="2:25" s="9" customFormat="1" ht="15" customHeight="1" x14ac:dyDescent="0.2">
      <c r="B31" s="84"/>
      <c r="C31" s="84"/>
      <c r="D31" s="84"/>
      <c r="E31" s="84"/>
      <c r="F31" s="93"/>
      <c r="G31" s="97"/>
      <c r="H31" s="98"/>
      <c r="I31" s="114"/>
      <c r="J31" s="102"/>
      <c r="K31" s="102"/>
      <c r="L31" s="154"/>
      <c r="M31" s="107" t="s">
        <v>14</v>
      </c>
      <c r="N31" s="108"/>
      <c r="O31" s="108"/>
      <c r="P31" s="109"/>
      <c r="Q31" s="110" t="s">
        <v>17</v>
      </c>
      <c r="R31" s="111"/>
      <c r="S31" s="110" t="s">
        <v>20</v>
      </c>
      <c r="T31" s="112"/>
      <c r="U31" s="112"/>
      <c r="V31" s="111"/>
      <c r="W31" s="114"/>
      <c r="X31" s="84"/>
      <c r="Y31" s="84"/>
    </row>
    <row r="32" spans="2:25" s="9" customFormat="1" ht="55.5" customHeight="1" x14ac:dyDescent="0.2">
      <c r="B32" s="84"/>
      <c r="C32" s="84"/>
      <c r="D32" s="65" t="s">
        <v>7</v>
      </c>
      <c r="E32" s="65" t="s">
        <v>8</v>
      </c>
      <c r="F32" s="94"/>
      <c r="G32" s="97"/>
      <c r="H32" s="98"/>
      <c r="I32" s="115"/>
      <c r="J32" s="102"/>
      <c r="K32" s="102"/>
      <c r="L32" s="155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15"/>
      <c r="X32" s="84"/>
      <c r="Y32" s="84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88">
        <v>6</v>
      </c>
      <c r="H33" s="88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38">
        <f>-('Умови та класичний графік'!J13-L34)</f>
        <v>-9760750</v>
      </c>
      <c r="H34" s="139"/>
      <c r="I34" s="29" t="s">
        <v>24</v>
      </c>
      <c r="J34" s="28" t="s">
        <v>24</v>
      </c>
      <c r="K34" s="28" t="s">
        <v>24</v>
      </c>
      <c r="L34" s="30">
        <f>SUM(M34:V34)</f>
        <v>239250</v>
      </c>
      <c r="M34" s="31">
        <v>0</v>
      </c>
      <c r="N34" s="31">
        <v>100</v>
      </c>
      <c r="O34" s="32">
        <f>J14</f>
        <v>150000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графік'!J15*0.1%+5000)</f>
        <v>18500</v>
      </c>
      <c r="T34" s="33">
        <f>SUM(T35:T274)</f>
        <v>0</v>
      </c>
      <c r="U34" s="33">
        <f>J18+J19</f>
        <v>70500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40">
        <f>-(SUM(J35:L35))</f>
        <v>181728.12970921039</v>
      </c>
      <c r="H35" s="140"/>
      <c r="I35" s="32">
        <f>'Умови та класичний графік'!J13+J35</f>
        <v>9997438.5369574558</v>
      </c>
      <c r="J35" s="32">
        <f>PPMT($J$20/12,B35,$J$12,$J$11,0,0)</f>
        <v>-2561.4630425437153</v>
      </c>
      <c r="K35" s="32">
        <f>IPMT($J$20/12,B35,$J$12,$J$11,0,0)</f>
        <v>-179166.66666666669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40">
        <f t="shared" ref="G36" si="3">-(SUM(J36:L36))</f>
        <v>181728.12970921039</v>
      </c>
      <c r="H36" s="140"/>
      <c r="I36" s="32">
        <f>I35+J36</f>
        <v>9994831.1810353994</v>
      </c>
      <c r="J36" s="32">
        <f t="shared" ref="J36" si="4">PPMT($J$20/12,B36,$J$12,$J$11,0,0)</f>
        <v>-2607.3559220559591</v>
      </c>
      <c r="K36" s="32">
        <f t="shared" ref="K36" si="5">IPMT($J$20/12,B36,$J$12,$J$11,0,0)</f>
        <v>-179120.77378715444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 t="e">
        <f>IF(B35&lt;'Умови та класичний графік'!$J$14,XIRR($G$34:G36,$C$34:C36,0),"")</f>
        <v>#NUM!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40">
        <f>IF(B36&lt;'Умови та класичний графік'!$J$14,-(SUM(J37:L37)),"")</f>
        <v>181728.12970921039</v>
      </c>
      <c r="H37" s="140"/>
      <c r="I37" s="32">
        <f>IF(B36&lt;'Умови та класичний графік'!$J$14,I36+J37,"")</f>
        <v>9992177.1099864058</v>
      </c>
      <c r="J37" s="32">
        <f>IF(B36&lt;'Умови та класичний графік'!$J$14,PPMT($J$20/12,B37,$J$12,$J$11,0,0),"")</f>
        <v>-2654.0710489927942</v>
      </c>
      <c r="K37" s="32">
        <f>IF(B36&lt;'Умови та класичний графік'!$J$14,IPMT($J$20/12,B37,$J$12,$J$11,0,0),"")</f>
        <v>-179074.05866021759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-0.99999965144646241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40">
        <f>IF(B37&lt;'Умови та класичний графік'!$J$14,-(SUM(J38:L38)),"")</f>
        <v>181728.12970921033</v>
      </c>
      <c r="H38" s="140"/>
      <c r="I38" s="32">
        <f>IF(B37&lt;'Умови та класичний графік'!$J$14,I37+J38,"")</f>
        <v>9989475.4868311193</v>
      </c>
      <c r="J38" s="32">
        <f>IF(B37&lt;'Умови та класичний графік'!$J$14,PPMT($J$20/12,B38,$J$12,$J$11,0,0),"")</f>
        <v>-2701.6231552872482</v>
      </c>
      <c r="K38" s="32">
        <f>IF(B37&lt;'Умови та класичний графік'!$J$14,IPMT($J$20/12,B38,$J$12,$J$11,0,0),"")</f>
        <v>-179026.5065539231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-0.99997413115164258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40">
        <f>IF(B38&lt;'Умови та класичний графік'!$J$14,-(SUM(J39:L39)),"")</f>
        <v>181728.12970921036</v>
      </c>
      <c r="H39" s="140"/>
      <c r="I39" s="32">
        <f>IF(B38&lt;'Умови та класичний графік'!$J$14,I38+J39,"")</f>
        <v>9986725.4595943</v>
      </c>
      <c r="J39" s="32">
        <f>IF(B38&lt;'Умови та класичний графік'!$J$14,PPMT($J$20/12,B39,$J$12,$J$11,0,0),"")</f>
        <v>-2750.0272368194778</v>
      </c>
      <c r="K39" s="32">
        <f>IF(B38&lt;'Умови та класичний графік'!$J$14,IPMT($J$20/12,B39,$J$12,$J$11,0,0),"")</f>
        <v>-178978.10247239089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-0.99965816728811474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40">
        <f>IF(B39&lt;'Умови та класичний графік'!$J$14,-(SUM(J40:L40)),"")</f>
        <v>181728.12970921036</v>
      </c>
      <c r="H40" s="140"/>
      <c r="I40" s="32">
        <f>IF(B39&lt;'Умови та класичний графік'!$J$14,I39+J40,"")</f>
        <v>9983926.1610361543</v>
      </c>
      <c r="J40" s="32">
        <f>IF(B39&lt;'Умови та класичний графік'!$J$14,PPMT($J$20/12,B40,$J$12,$J$11,0,0),"")</f>
        <v>-2799.2985581458261</v>
      </c>
      <c r="K40" s="32">
        <f>IF(B39&lt;'Умови та класичний графік'!$J$14,IPMT($J$20/12,B40,$J$12,$J$11,0,0),"")</f>
        <v>-178928.83115106454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-0.99818798953807808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40">
        <f>IF(B40&lt;'Умови та класичний графік'!$J$14,-(SUM(J41:L41)),"")</f>
        <v>181728.12970921036</v>
      </c>
      <c r="H41" s="140"/>
      <c r="I41" s="32">
        <f>IF(B40&lt;'Умови та класичний графік'!$J$14,I40+J41,"")</f>
        <v>9981076.7083788421</v>
      </c>
      <c r="J41" s="32">
        <f>IF(B40&lt;'Умови та класичний графік'!$J$14,PPMT($J$20/12,B41,$J$12,$J$11,0,0),"")</f>
        <v>-2849.4526573126054</v>
      </c>
      <c r="K41" s="32">
        <f>IF(B40&lt;'Умови та класичний графік'!$J$14,IPMT($J$20/12,B41,$J$12,$J$11,0,0),"")</f>
        <v>-178878.67705189777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графік'!$J$14,XIRR($G$34:G41,$C$34:C41,0),"")</f>
        <v>-0.99412441541370011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40">
        <f>IF(B41&lt;'Умови та класичний графік'!$J$14,-(SUM(J42:L42)),"")</f>
        <v>181728.12970921039</v>
      </c>
      <c r="H42" s="140"/>
      <c r="I42" s="32">
        <f>IF(B41&lt;'Умови та класичний графік'!$J$14,I41+J42,"")</f>
        <v>9978176.2030280866</v>
      </c>
      <c r="J42" s="32">
        <f>IF(B41&lt;'Умови та класичний графік'!$J$14,PPMT($J$20/12,B42,$J$12,$J$11,0,0),"")</f>
        <v>-2900.5053507561252</v>
      </c>
      <c r="K42" s="32">
        <f>IF(B41&lt;'Умови та класичний графік'!$J$14,IPMT($J$20/12,B42,$J$12,$J$11,0,0),"")</f>
        <v>-178827.62435845425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графік'!$J$14,XIRR($G$34:G42,$C$34:C42,0),"")</f>
        <v>-0.98605731009504782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40">
        <f>IF(B42&lt;'Умови та класичний графік'!$J$14,-(SUM(J43:L43)),"")</f>
        <v>181728.12970921036</v>
      </c>
      <c r="H43" s="140"/>
      <c r="I43" s="32">
        <f>IF(B42&lt;'Умови та класичний графік'!$J$14,I42+J43,"")</f>
        <v>9975223.7302897964</v>
      </c>
      <c r="J43" s="32">
        <f>IF(B42&lt;'Умови та класичний графік'!$J$14,PPMT($J$20/12,B43,$J$12,$J$11,0,0),"")</f>
        <v>-2952.4727382905048</v>
      </c>
      <c r="K43" s="32">
        <f>IF(B42&lt;'Умови та класичний графік'!$J$14,IPMT($J$20/12,B43,$J$12,$J$11,0,0),"")</f>
        <v>-178775.65697091987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графік'!$J$14,XIRR($G$34:G43,$C$34:C43,0),"")</f>
        <v>-0.9732360675729903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40">
        <f>IF(B43&lt;'Умови та класичний графік'!$J$14,-(SUM(J44:L44)),"")</f>
        <v>181728.12970921036</v>
      </c>
      <c r="H44" s="140"/>
      <c r="I44" s="32">
        <f>IF(B43&lt;'Умови та класичний графік'!$J$14,I43+J44,"")</f>
        <v>9972218.359081611</v>
      </c>
      <c r="J44" s="32">
        <f>IF(B43&lt;'Умови та класичний графік'!$J$14,PPMT($J$20/12,B44,$J$12,$J$11,0,0),"")</f>
        <v>-3005.3712081848762</v>
      </c>
      <c r="K44" s="32">
        <f>IF(B43&lt;'Умови та класичний графік'!$J$14,IPMT($J$20/12,B44,$J$12,$J$11,0,0),"")</f>
        <v>-178722.7585010255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графік'!$J$14,XIRR($G$34:G44,$C$34:C44,0),"")</f>
        <v>-0.95531666072877131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40">
        <f>IF(B44&lt;'Умови та класичний графік'!$J$14,-(SUM(J45:L45)),"")</f>
        <v>181728.12970921039</v>
      </c>
      <c r="H45" s="140"/>
      <c r="I45" s="32">
        <f>IF(B44&lt;'Умови та класичний графік'!$J$14,I44+J45,"")</f>
        <v>9969159.1416392792</v>
      </c>
      <c r="J45" s="32">
        <f>IF(B44&lt;'Умови та класичний графік'!$J$14,PPMT($J$20/12,B45,$J$12,$J$11,0,0),"")</f>
        <v>-3059.2174423315219</v>
      </c>
      <c r="K45" s="32">
        <f>IF(B44&lt;'Умови та класичний графік'!$J$14,IPMT($J$20/12,B45,$J$12,$J$11,0,0),"")</f>
        <v>-178668.91226687888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графік'!$J$14,XIRR($G$34:G45,$C$34:C45,0),"")</f>
        <v>-0.93276878250475992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40">
        <f>IF(B45&lt;'Умови та класичний графік'!$J$14,-(SUM(J46:L46)),"")</f>
        <v>252126.26504886372</v>
      </c>
      <c r="H46" s="140"/>
      <c r="I46" s="32">
        <f>IF(B45&lt;'Умови та класичний графік'!$J$14,I45+J46,"")</f>
        <v>9966045.1132177729</v>
      </c>
      <c r="J46" s="32">
        <f>IF(B45&lt;'Умови та класичний графік'!$J$14,PPMT($J$20/12,B46,$J$12,$J$11,0,0),"")</f>
        <v>-3114.0284215066281</v>
      </c>
      <c r="K46" s="32">
        <f>IF(B45&lt;'Умови та класичний графік'!$J$14,IPMT($J$20/12,B46,$J$12,$J$11,0,0),"")</f>
        <v>-178614.10128770376</v>
      </c>
      <c r="L46" s="30">
        <f>IF(B45&lt;'Умови та класичний графік'!$J$14,-(SUM(M46:V46)),"")</f>
        <v>-70398.135339653323</v>
      </c>
      <c r="M46" s="38"/>
      <c r="N46" s="39"/>
      <c r="O46" s="39"/>
      <c r="P46" s="32"/>
      <c r="Q46" s="40"/>
      <c r="R46" s="40"/>
      <c r="S46" s="41"/>
      <c r="T46" s="41"/>
      <c r="U46" s="33">
        <f>IF(B45&lt;'Умови та класичний графік'!$J$14,('Умови та класичний графік'!$J$15*$N$18)+(I46*$N$19),"")</f>
        <v>70398.135339653323</v>
      </c>
      <c r="V46" s="41"/>
      <c r="W46" s="43">
        <f>IF(B45&lt;'Умови та класичний графік'!$J$14,XIRR($G$34:G46,$C$34:C46,0),"")</f>
        <v>-0.89613302729491129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графік'!$J$14,EDATE(C46,1),"")</f>
        <v>44593</v>
      </c>
      <c r="D47" s="36">
        <f>IF(B46&lt;'Умови та класичний графік'!$J$14,C46,"")</f>
        <v>44562</v>
      </c>
      <c r="E47" s="26">
        <f>IF(B46&lt;'Умови та класичний графік'!$J$14,C47-1,"")</f>
        <v>44592</v>
      </c>
      <c r="F47" s="37">
        <f>IF(B46&lt;'Умови та класичний графік'!$J$14,E47-D47+1,"")</f>
        <v>31</v>
      </c>
      <c r="G47" s="140">
        <f>IF(B46&lt;'Умови та класичний графік'!$J$14,-(SUM(J47:L47)),"")</f>
        <v>181728.12970921036</v>
      </c>
      <c r="H47" s="140"/>
      <c r="I47" s="32">
        <f>IF(B46&lt;'Умови та класичний графік'!$J$14,I46+J47,"")</f>
        <v>9962875.2917870469</v>
      </c>
      <c r="J47" s="32">
        <f>IF(B46&lt;'Умови та класичний графік'!$J$14,PPMT($J$20/12,B47,$J$12,$J$11,0,0),"")</f>
        <v>-3169.8214307252883</v>
      </c>
      <c r="K47" s="32">
        <f>IF(B46&lt;'Умови та класичний графік'!$J$14,IPMT($J$20/12,B47,$J$12,$J$11,0,0),"")</f>
        <v>-178558.30827848508</v>
      </c>
      <c r="L47" s="30">
        <f>IF(B46&lt;'Умови та класичний графік'!$J$14,-(SUM(M47:V47)),"")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графік'!$J$14,XIRR($G$34:G47,$C$34:C47,0),"")</f>
        <v>-0.86665546874545518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графік'!$J$14,EDATE(C47,1),"")</f>
        <v>44621</v>
      </c>
      <c r="D48" s="36">
        <f>IF(B47&lt;'Умови та класичний графік'!$J$14,C47,"")</f>
        <v>44593</v>
      </c>
      <c r="E48" s="26">
        <f>IF(B47&lt;'Умови та класичний графік'!$J$14,C48-1,"")</f>
        <v>44620</v>
      </c>
      <c r="F48" s="37">
        <f>IF(B47&lt;'Умови та класичний графік'!$J$14,E48-D48+1,"")</f>
        <v>28</v>
      </c>
      <c r="G48" s="140">
        <f>IF(B47&lt;'Умови та класичний графік'!$J$14,-(SUM(J48:L48)),"")</f>
        <v>181728.12970921039</v>
      </c>
      <c r="H48" s="140"/>
      <c r="I48" s="32">
        <f>IF(B47&lt;'Умови та класичний графік'!$J$14,I47+J48,"")</f>
        <v>9959648.6777223554</v>
      </c>
      <c r="J48" s="32">
        <f>IF(B47&lt;'Умови та класичний графік'!$J$14,PPMT($J$20/12,B48,$J$12,$J$11,0,0),"")</f>
        <v>-3226.6140646924491</v>
      </c>
      <c r="K48" s="32">
        <f>IF(B47&lt;'Умови та класичний графік'!$J$14,IPMT($J$20/12,B48,$J$12,$J$11,0,0),"")</f>
        <v>-178501.51564451793</v>
      </c>
      <c r="L48" s="30">
        <f>IF(B47&lt;'Умови та класичний графік'!$J$14,-(SUM(M48:V48)),"")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графік'!$J$14,XIRR($G$34:G48,$C$34:C48,0),"")</f>
        <v>-0.83502838703516846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графік'!$J$14,EDATE(C48,1),"")</f>
        <v>44652</v>
      </c>
      <c r="D49" s="36">
        <f>IF(B48&lt;'Умови та класичний графік'!$J$14,C48,"")</f>
        <v>44621</v>
      </c>
      <c r="E49" s="26">
        <f>IF(B48&lt;'Умови та класичний графік'!$J$14,C49-1,"")</f>
        <v>44651</v>
      </c>
      <c r="F49" s="37">
        <f>IF(B48&lt;'Умови та класичний графік'!$J$14,E49-D49+1,"")</f>
        <v>31</v>
      </c>
      <c r="G49" s="140">
        <f>IF(B48&lt;'Умови та класичний графік'!$J$14,-(SUM(J49:L49)),"")</f>
        <v>181728.12970921036</v>
      </c>
      <c r="H49" s="140"/>
      <c r="I49" s="32">
        <f>IF(B48&lt;'Умови та класичний графік'!$J$14,I48+J49,"")</f>
        <v>9956364.2534890044</v>
      </c>
      <c r="J49" s="32">
        <f>IF(B48&lt;'Умови та класичний графік'!$J$14,PPMT($J$20/12,B49,$J$12,$J$11,0,0),"")</f>
        <v>-3284.4242333515244</v>
      </c>
      <c r="K49" s="32">
        <f>IF(B48&lt;'Умови та класичний графік'!$J$14,IPMT($J$20/12,B49,$J$12,$J$11,0,0),"")</f>
        <v>-178443.70547585885</v>
      </c>
      <c r="L49" s="30">
        <f>IF(B48&lt;'Умови та класичний графік'!$J$14,-(SUM(M49:V49)),"")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графік'!$J$14,XIRR($G$34:G49,$C$34:C49,0),"")</f>
        <v>-0.80147629198934878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графік'!$J$14,EDATE(C49,1),"")</f>
        <v>44682</v>
      </c>
      <c r="D50" s="36">
        <f>IF(B49&lt;'Умови та класичний графік'!$J$14,C49,"")</f>
        <v>44652</v>
      </c>
      <c r="E50" s="26">
        <f>IF(B49&lt;'Умови та класичний графік'!$J$14,C50-1,"")</f>
        <v>44681</v>
      </c>
      <c r="F50" s="37">
        <f>IF(B49&lt;'Умови та класичний графік'!$J$14,E50-D50+1,"")</f>
        <v>30</v>
      </c>
      <c r="G50" s="140">
        <f>IF(B49&lt;'Умови та класичний графік'!$J$14,-(SUM(J50:L50)),"")</f>
        <v>181728.12970921039</v>
      </c>
      <c r="H50" s="140"/>
      <c r="I50" s="32">
        <f>IF(B49&lt;'Умови та класичний графік'!$J$14,I49+J50,"")</f>
        <v>9953020.9833214711</v>
      </c>
      <c r="J50" s="32">
        <f>IF(B49&lt;'Умови та класичний графік'!$J$14,PPMT($J$20/12,B50,$J$12,$J$11,0,0),"")</f>
        <v>-3343.2701675324042</v>
      </c>
      <c r="K50" s="32">
        <f>IF(B49&lt;'Умови та класичний графік'!$J$14,IPMT($J$20/12,B50,$J$12,$J$11,0,0),"")</f>
        <v>-178384.85954167799</v>
      </c>
      <c r="L50" s="30">
        <f>IF(B49&lt;'Умови та класичний графік'!$J$14,-(SUM(M50:V50)),"")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графік'!$J$14,XIRR($G$34:G50,$C$34:C50,0),"")</f>
        <v>-0.76683369616899655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графік'!$J$14,EDATE(C50,1),"")</f>
        <v>44713</v>
      </c>
      <c r="D51" s="36">
        <f>IF(B50&lt;'Умови та класичний графік'!$J$14,C50,"")</f>
        <v>44682</v>
      </c>
      <c r="E51" s="26">
        <f>IF(B50&lt;'Умови та класичний графік'!$J$14,C51-1,"")</f>
        <v>44712</v>
      </c>
      <c r="F51" s="37">
        <f>IF(B50&lt;'Умови та класичний графік'!$J$14,E51-D51+1,"")</f>
        <v>31</v>
      </c>
      <c r="G51" s="140">
        <f>IF(B50&lt;'Умови та класичний графік'!$J$14,-(SUM(J51:L51)),"")</f>
        <v>181728.12970921039</v>
      </c>
      <c r="H51" s="140"/>
      <c r="I51" s="32">
        <f>IF(B50&lt;'Умови та класичний графік'!$J$14,I50+J51,"")</f>
        <v>9949617.8128967714</v>
      </c>
      <c r="J51" s="32">
        <f>IF(B50&lt;'Умови та класичний графік'!$J$14,PPMT($J$20/12,B51,$J$12,$J$11,0,0),"")</f>
        <v>-3403.1704247006942</v>
      </c>
      <c r="K51" s="32">
        <f>IF(B50&lt;'Умови та класичний графік'!$J$14,IPMT($J$20/12,B51,$J$12,$J$11,0,0),"")</f>
        <v>-178324.95928450971</v>
      </c>
      <c r="L51" s="30">
        <f>IF(B50&lt;'Умови та класичний графік'!$J$14,-(SUM(M51:V51)),"")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графік'!$J$14,XIRR($G$34:G51,$C$34:C51,0),"")</f>
        <v>-0.7315294283531979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графік'!$J$14,EDATE(C51,1),"")</f>
        <v>44743</v>
      </c>
      <c r="D52" s="36">
        <f>IF(B51&lt;'Умови та класичний графік'!$J$14,C51,"")</f>
        <v>44713</v>
      </c>
      <c r="E52" s="26">
        <f>IF(B51&lt;'Умови та класичний графік'!$J$14,C52-1,"")</f>
        <v>44742</v>
      </c>
      <c r="F52" s="37">
        <f>IF(B51&lt;'Умови та класичний графік'!$J$14,E52-D52+1,"")</f>
        <v>30</v>
      </c>
      <c r="G52" s="140">
        <f>IF(B51&lt;'Умови та класичний графік'!$J$14,-(SUM(J52:L52)),"")</f>
        <v>181728.12970921036</v>
      </c>
      <c r="H52" s="140"/>
      <c r="I52" s="32">
        <f>IF(B51&lt;'Умови та класичний графік'!$J$14,I51+J52,"")</f>
        <v>9946153.6690019611</v>
      </c>
      <c r="J52" s="32">
        <f>IF(B51&lt;'Умови та класичний графік'!$J$14,PPMT($J$20/12,B52,$J$12,$J$11,0,0),"")</f>
        <v>-3464.1438948099139</v>
      </c>
      <c r="K52" s="32">
        <f>IF(B51&lt;'Умови та класичний графік'!$J$14,IPMT($J$20/12,B52,$J$12,$J$11,0,0),"")</f>
        <v>-178263.98581440045</v>
      </c>
      <c r="L52" s="30">
        <f>IF(B51&lt;'Умови та класичний графік'!$J$14,-(SUM(M52:V52)),"")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графік'!$J$14,XIRR($G$34:G52,$C$34:C52,0),"")</f>
        <v>-0.69616595509074652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графік'!$J$14,EDATE(C52,1),"")</f>
        <v>44774</v>
      </c>
      <c r="D53" s="36">
        <f>IF(B52&lt;'Умови та класичний графік'!$J$14,C52,"")</f>
        <v>44743</v>
      </c>
      <c r="E53" s="26">
        <f>IF(B52&lt;'Умови та класичний графік'!$J$14,C53-1,"")</f>
        <v>44773</v>
      </c>
      <c r="F53" s="37">
        <f>IF(B52&lt;'Умови та класичний графік'!$J$14,E53-D53+1,"")</f>
        <v>31</v>
      </c>
      <c r="G53" s="140">
        <f>IF(B52&lt;'Умови та класичний графік'!$J$14,-(SUM(J53:L53)),"")</f>
        <v>181728.12970921036</v>
      </c>
      <c r="H53" s="140"/>
      <c r="I53" s="32">
        <f>IF(B52&lt;'Умови та класичний графік'!$J$14,I52+J53,"")</f>
        <v>9942627.4591957033</v>
      </c>
      <c r="J53" s="32">
        <f>IF(B52&lt;'Умови та класичний графік'!$J$14,PPMT($J$20/12,B53,$J$12,$J$11,0,0),"")</f>
        <v>-3526.209806258591</v>
      </c>
      <c r="K53" s="32">
        <f>IF(B52&lt;'Умови та класичний графік'!$J$14,IPMT($J$20/12,B53,$J$12,$J$11,0,0),"")</f>
        <v>-178201.91990295178</v>
      </c>
      <c r="L53" s="30">
        <f>IF(B52&lt;'Умови та класичний графік'!$J$14,-(SUM(M53:V53)),"")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графік'!$J$14,XIRR($G$34:G53,$C$34:C53,0),"")</f>
        <v>-0.66099445901874465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графік'!$J$14,EDATE(C53,1),"")</f>
        <v>44805</v>
      </c>
      <c r="D54" s="36">
        <f>IF(B53&lt;'Умови та класичний графік'!$J$14,C53,"")</f>
        <v>44774</v>
      </c>
      <c r="E54" s="26">
        <f>IF(B53&lt;'Умови та класичний графік'!$J$14,C54-1,"")</f>
        <v>44804</v>
      </c>
      <c r="F54" s="37">
        <f>IF(B53&lt;'Умови та класичний графік'!$J$14,E54-D54+1,"")</f>
        <v>31</v>
      </c>
      <c r="G54" s="140">
        <f>IF(B53&lt;'Умови та класичний графік'!$J$14,-(SUM(J54:L54)),"")</f>
        <v>181728.12970921036</v>
      </c>
      <c r="H54" s="140"/>
      <c r="I54" s="32">
        <f>IF(B53&lt;'Умови та класичний графік'!$J$14,I53+J54,"")</f>
        <v>9939038.0714637488</v>
      </c>
      <c r="J54" s="32">
        <f>IF(B53&lt;'Умови та класичний графік'!$J$14,PPMT($J$20/12,B54,$J$12,$J$11,0,0),"")</f>
        <v>-3589.3877319540584</v>
      </c>
      <c r="K54" s="32">
        <f>IF(B53&lt;'Умови та класичний графік'!$J$14,IPMT($J$20/12,B54,$J$12,$J$11,0,0),"")</f>
        <v>-178138.74197725632</v>
      </c>
      <c r="L54" s="30">
        <f>IF(B53&lt;'Умови та класичний графік'!$J$14,-(SUM(M54:V54)),"")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графік'!$J$14,XIRR($G$34:G54,$C$34:C54,0),"")</f>
        <v>-0.62632398712985238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графік'!$J$14,EDATE(C54,1),"")</f>
        <v>44835</v>
      </c>
      <c r="D55" s="36">
        <f>IF(B54&lt;'Умови та класичний графік'!$J$14,C54,"")</f>
        <v>44805</v>
      </c>
      <c r="E55" s="26">
        <f>IF(B54&lt;'Умови та класичний графік'!$J$14,C55-1,"")</f>
        <v>44834</v>
      </c>
      <c r="F55" s="37">
        <f>IF(B54&lt;'Умови та класичний графік'!$J$14,E55-D55+1,"")</f>
        <v>30</v>
      </c>
      <c r="G55" s="140">
        <f>IF(B54&lt;'Умови та класичний графік'!$J$14,-(SUM(J55:L55)),"")</f>
        <v>181728.12970921039</v>
      </c>
      <c r="H55" s="140"/>
      <c r="I55" s="32">
        <f>IF(B54&lt;'Умови та класичний графік'!$J$14,I54+J55,"")</f>
        <v>9935384.3738682643</v>
      </c>
      <c r="J55" s="32">
        <f>IF(B54&lt;'Умови та класичний графік'!$J$14,PPMT($J$20/12,B55,$J$12,$J$11,0,0),"")</f>
        <v>-3653.6975954849017</v>
      </c>
      <c r="K55" s="32">
        <f>IF(B54&lt;'Умови та класичний графік'!$J$14,IPMT($J$20/12,B55,$J$12,$J$11,0,0),"")</f>
        <v>-178074.43211372549</v>
      </c>
      <c r="L55" s="30">
        <f>IF(B54&lt;'Умови та класичний графік'!$J$14,-(SUM(M55:V55)),"")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графік'!$J$14,XIRR($G$34:G55,$C$34:C55,0),"")</f>
        <v>-0.5924664138837904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графік'!$J$14,EDATE(C55,1),"")</f>
        <v>44866</v>
      </c>
      <c r="D56" s="36">
        <f>IF(B55&lt;'Умови та класичний графік'!$J$14,C55,"")</f>
        <v>44835</v>
      </c>
      <c r="E56" s="26">
        <f>IF(B55&lt;'Умови та класичний графік'!$J$14,C56-1,"")</f>
        <v>44865</v>
      </c>
      <c r="F56" s="37">
        <f>IF(B55&lt;'Умови та класичний графік'!$J$14,E56-D56+1,"")</f>
        <v>31</v>
      </c>
      <c r="G56" s="140">
        <f>IF(B55&lt;'Умови та класичний графік'!$J$14,-(SUM(J56:L56)),"")</f>
        <v>181728.12970921039</v>
      </c>
      <c r="H56" s="140"/>
      <c r="I56" s="32">
        <f>IF(B55&lt;'Умови та класичний графік'!$J$14,I55+J56,"")</f>
        <v>9931665.2141908593</v>
      </c>
      <c r="J56" s="32">
        <f>IF(B55&lt;'Умови та класичний графік'!$J$14,PPMT($J$20/12,B56,$J$12,$J$11,0,0),"")</f>
        <v>-3719.1596774040058</v>
      </c>
      <c r="K56" s="32">
        <f>IF(B55&lt;'Умови та класичний графік'!$J$14,IPMT($J$20/12,B56,$J$12,$J$11,0,0),"")</f>
        <v>-178008.97003180638</v>
      </c>
      <c r="L56" s="30">
        <f>IF(B55&lt;'Умови та класичний графік'!$J$14,-(SUM(M56:V56)),"")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графік'!$J$14,XIRR($G$34:G56,$C$34:C56,0),"")</f>
        <v>-0.5594900566961617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графік'!$J$14,EDATE(C56,1),"")</f>
        <v>44896</v>
      </c>
      <c r="D57" s="36">
        <f>IF(B56&lt;'Умови та класичний графік'!$J$14,C56,"")</f>
        <v>44866</v>
      </c>
      <c r="E57" s="26">
        <f>IF(B56&lt;'Умови та класичний графік'!$J$14,C57-1,"")</f>
        <v>44895</v>
      </c>
      <c r="F57" s="37">
        <f>IF(B56&lt;'Умови та класичний графік'!$J$14,E57-D57+1,"")</f>
        <v>30</v>
      </c>
      <c r="G57" s="140">
        <f>IF(B56&lt;'Умови та класичний графік'!$J$14,-(SUM(J57:L57)),"")</f>
        <v>181728.12970921036</v>
      </c>
      <c r="H57" s="140"/>
      <c r="I57" s="32">
        <f>IF(B56&lt;'Умови та класичний графік'!$J$14,I56+J57,"")</f>
        <v>9927879.4195692353</v>
      </c>
      <c r="J57" s="32">
        <f>IF(B56&lt;'Умови та класичний графік'!$J$14,PPMT($J$20/12,B57,$J$12,$J$11,0,0),"")</f>
        <v>-3785.7946216241621</v>
      </c>
      <c r="K57" s="32">
        <f>IF(B56&lt;'Умови та класичний графік'!$J$14,IPMT($J$20/12,B57,$J$12,$J$11,0,0),"")</f>
        <v>-177942.33508758619</v>
      </c>
      <c r="L57" s="30">
        <f>IF(B56&lt;'Умови та класичний графік'!$J$14,-(SUM(M57:V57)),"")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графік'!$J$14,XIRR($G$34:G57,$C$34:C57,0),"")</f>
        <v>-0.52758162524960939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графік'!$J$14,EDATE(C57,1),"")</f>
        <v>44927</v>
      </c>
      <c r="D58" s="36">
        <f>IF(B57&lt;'Умови та класичний графік'!$J$14,C57,"")</f>
        <v>44896</v>
      </c>
      <c r="E58" s="26">
        <f>IF(B57&lt;'Умови та класичний графік'!$J$14,C58-1,"")</f>
        <v>44926</v>
      </c>
      <c r="F58" s="37">
        <f>IF(B57&lt;'Умови та класичний графік'!$J$14,E58-D58+1,"")</f>
        <v>31</v>
      </c>
      <c r="G58" s="140">
        <f>IF(B57&lt;'Умови та класичний графік'!$J$14,-(SUM(J58:L58)),"")</f>
        <v>252000.2070975923</v>
      </c>
      <c r="H58" s="140"/>
      <c r="I58" s="32">
        <f>IF(B57&lt;'Умови та класичний графік'!$J$14,I57+J58,"")</f>
        <v>9924025.7961273063</v>
      </c>
      <c r="J58" s="32">
        <f>IF(B57&lt;'Умови та класичний графік'!$J$14,PPMT($J$20/12,B58,$J$12,$J$11,0,0),"")</f>
        <v>-3853.6234419282614</v>
      </c>
      <c r="K58" s="32">
        <f>IF(B57&lt;'Умови та класичний графік'!$J$14,IPMT($J$20/12,B58,$J$12,$J$11,0,0),"")</f>
        <v>-177874.50626728212</v>
      </c>
      <c r="L58" s="30">
        <f>IF(B57&lt;'Умови та класичний графік'!$J$14,-(SUM(M58:V58)),"")</f>
        <v>-70272.07738838192</v>
      </c>
      <c r="M58" s="38"/>
      <c r="N58" s="39"/>
      <c r="O58" s="39"/>
      <c r="P58" s="32"/>
      <c r="Q58" s="40"/>
      <c r="R58" s="40"/>
      <c r="S58" s="41"/>
      <c r="T58" s="41"/>
      <c r="U58" s="33">
        <f>IF(B57&lt;'Умови та класичний графік'!$J$14,('Умови та класичний графік'!$J$15*$N$18)+(I58*$N$19),"")</f>
        <v>70272.07738838192</v>
      </c>
      <c r="V58" s="41"/>
      <c r="W58" s="43">
        <f>IF(B57&lt;'Умови та класичний графік'!$J$14,XIRR($G$34:G58,$C$34:C58,0),"")</f>
        <v>-0.48555563004650182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графік'!$J$14,EDATE(C58,1),"")</f>
        <v>44958</v>
      </c>
      <c r="D59" s="36">
        <f>IF(B58&lt;'Умови та класичний графік'!$J$14,C58,"")</f>
        <v>44927</v>
      </c>
      <c r="E59" s="26">
        <f>IF(B58&lt;'Умови та класичний графік'!$J$14,C59-1,"")</f>
        <v>44957</v>
      </c>
      <c r="F59" s="37">
        <f>IF(B58&lt;'Умови та класичний графік'!$J$14,E59-D59+1,"")</f>
        <v>31</v>
      </c>
      <c r="G59" s="140">
        <f>IF(B58&lt;'Умови та класичний графік'!$J$14,-(SUM(J59:L59)),"")</f>
        <v>181728.12970921039</v>
      </c>
      <c r="H59" s="140"/>
      <c r="I59" s="32">
        <f>IF(B58&lt;'Умови та класичний графік'!$J$14,I58+J59,"")</f>
        <v>9920103.1285987105</v>
      </c>
      <c r="J59" s="32">
        <f>IF(B58&lt;'Умови та класичний графік'!$J$14,PPMT($J$20/12,B59,$J$12,$J$11,0,0),"")</f>
        <v>-3922.6675285961419</v>
      </c>
      <c r="K59" s="32">
        <f>IF(B58&lt;'Умови та класичний графік'!$J$14,IPMT($J$20/12,B59,$J$12,$J$11,0,0),"")</f>
        <v>-177805.46218061424</v>
      </c>
      <c r="L59" s="30">
        <f>IF(B58&lt;'Умови та класичний графік'!$J$14,-(SUM(M59:V59)),"")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графік'!$J$14,XIRR($G$34:G59,$C$34:C59,0),"")</f>
        <v>-0.45677152362622331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графік'!$J$14,EDATE(C59,1),"")</f>
        <v>44986</v>
      </c>
      <c r="D60" s="36">
        <f>IF(B59&lt;'Умови та класичний графік'!$J$14,C59,"")</f>
        <v>44958</v>
      </c>
      <c r="E60" s="26">
        <f>IF(B59&lt;'Умови та класичний графік'!$J$14,C60-1,"")</f>
        <v>44985</v>
      </c>
      <c r="F60" s="37">
        <f>IF(B59&lt;'Умови та класичний графік'!$J$14,E60-D60+1,"")</f>
        <v>28</v>
      </c>
      <c r="G60" s="140">
        <f>IF(B59&lt;'Умови та класичний графік'!$J$14,-(SUM(J60:L60)),"")</f>
        <v>181728.12970921036</v>
      </c>
      <c r="H60" s="140"/>
      <c r="I60" s="32">
        <f>IF(B59&lt;'Умови та класичний графік'!$J$14,I59+J60,"")</f>
        <v>9916110.1799435597</v>
      </c>
      <c r="J60" s="32">
        <f>IF(B59&lt;'Умови та класичний графік'!$J$14,PPMT($J$20/12,B60,$J$12,$J$11,0,0),"")</f>
        <v>-3992.9486551501554</v>
      </c>
      <c r="K60" s="32">
        <f>IF(B59&lt;'Умови та класичний графік'!$J$14,IPMT($J$20/12,B60,$J$12,$J$11,0,0),"")</f>
        <v>-177735.1810540602</v>
      </c>
      <c r="L60" s="30">
        <f>IF(B59&lt;'Умови та класичний графік'!$J$14,-(SUM(M60:V60)),"")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графік'!$J$14,XIRR($G$34:G60,$C$34:C60,0),"")</f>
        <v>-0.4291281492925435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графік'!$J$14,EDATE(C60,1),"")</f>
        <v>45017</v>
      </c>
      <c r="D61" s="36">
        <f>IF(B60&lt;'Умови та класичний графік'!$J$14,C60,"")</f>
        <v>44986</v>
      </c>
      <c r="E61" s="26">
        <f>IF(B60&lt;'Умови та класичний графік'!$J$14,C61-1,"")</f>
        <v>45016</v>
      </c>
      <c r="F61" s="37">
        <f>IF(B60&lt;'Умови та класичний графік'!$J$14,E61-D61+1,"")</f>
        <v>31</v>
      </c>
      <c r="G61" s="140">
        <f>IF(B60&lt;'Умови та класичний графік'!$J$14,-(SUM(J61:L61)),"")</f>
        <v>181728.12970921039</v>
      </c>
      <c r="H61" s="140"/>
      <c r="I61" s="32">
        <f>IF(B60&lt;'Умови та класичний графік'!$J$14,I60+J61,"")</f>
        <v>9912045.6909583379</v>
      </c>
      <c r="J61" s="32">
        <f>IF(B60&lt;'Умови та класичний графік'!$J$14,PPMT($J$20/12,B61,$J$12,$J$11,0,0),"")</f>
        <v>-4064.4889852215974</v>
      </c>
      <c r="K61" s="32">
        <f>IF(B60&lt;'Умови та класичний графік'!$J$14,IPMT($J$20/12,B61,$J$12,$J$11,0,0),"")</f>
        <v>-177663.64072398879</v>
      </c>
      <c r="L61" s="30">
        <f>IF(B60&lt;'Умови та класичний графік'!$J$14,-(SUM(M61:V61)),"")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графік'!$J$14,XIRR($G$34:G61,$C$34:C61,0),"")</f>
        <v>-0.40250215646661824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графік'!$J$14,EDATE(C61,1),"")</f>
        <v>45047</v>
      </c>
      <c r="D62" s="36">
        <f>IF(B61&lt;'Умови та класичний графік'!$J$14,C61,"")</f>
        <v>45017</v>
      </c>
      <c r="E62" s="26">
        <f>IF(B61&lt;'Умови та класичний графік'!$J$14,C62-1,"")</f>
        <v>45046</v>
      </c>
      <c r="F62" s="37">
        <f>IF(B61&lt;'Умови та класичний графік'!$J$14,E62-D62+1,"")</f>
        <v>30</v>
      </c>
      <c r="G62" s="140">
        <f>IF(B61&lt;'Умови та класичний графік'!$J$14,-(SUM(J62:L62)),"")</f>
        <v>181728.12970921036</v>
      </c>
      <c r="H62" s="140"/>
      <c r="I62" s="32">
        <f>IF(B61&lt;'Умови та класичний графік'!$J$14,I61+J62,"")</f>
        <v>9907908.3798787985</v>
      </c>
      <c r="J62" s="32">
        <f>IF(B61&lt;'Умови та класичний графік'!$J$14,PPMT($J$20/12,B62,$J$12,$J$11,0,0),"")</f>
        <v>-4137.3110795401508</v>
      </c>
      <c r="K62" s="32">
        <f>IF(B61&lt;'Умови та класичний графік'!$J$14,IPMT($J$20/12,B62,$J$12,$J$11,0,0),"")</f>
        <v>-177590.81862967022</v>
      </c>
      <c r="L62" s="30">
        <f>IF(B61&lt;'Умови та класичний графік'!$J$14,-(SUM(M62:V62)),"")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графік'!$J$14,XIRR($G$34:G62,$C$34:C62,0),"")</f>
        <v>-0.37694373175747697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графік'!$J$14,EDATE(C62,1),"")</f>
        <v>45078</v>
      </c>
      <c r="D63" s="36">
        <f>IF(B62&lt;'Умови та класичний графік'!$J$14,C62,"")</f>
        <v>45047</v>
      </c>
      <c r="E63" s="26">
        <f>IF(B62&lt;'Умови та класичний графік'!$J$14,C63-1,"")</f>
        <v>45077</v>
      </c>
      <c r="F63" s="37">
        <f>IF(B62&lt;'Умови та класичний графік'!$J$14,E63-D63+1,"")</f>
        <v>31</v>
      </c>
      <c r="G63" s="140">
        <f>IF(B62&lt;'Умови та класичний графік'!$J$14,-(SUM(J63:L63)),"")</f>
        <v>181728.12970921039</v>
      </c>
      <c r="H63" s="140"/>
      <c r="I63" s="32">
        <f>IF(B62&lt;'Умови та класичний графік'!$J$14,I62+J63,"")</f>
        <v>9903696.94197575</v>
      </c>
      <c r="J63" s="32">
        <f>IF(B62&lt;'Умови та класичний графік'!$J$14,PPMT($J$20/12,B63,$J$12,$J$11,0,0),"")</f>
        <v>-4211.437903048577</v>
      </c>
      <c r="K63" s="32">
        <f>IF(B62&lt;'Умови та класичний графік'!$J$14,IPMT($J$20/12,B63,$J$12,$J$11,0,0),"")</f>
        <v>-177516.69180616181</v>
      </c>
      <c r="L63" s="30">
        <f>IF(B62&lt;'Умови та класичний графік'!$J$14,-(SUM(M63:V63)),"")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графік'!$J$14,XIRR($G$34:G63,$C$34:C63,0),"")</f>
        <v>-0.3524141921374947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графік'!$J$14,EDATE(C63,1),"")</f>
        <v>45108</v>
      </c>
      <c r="D64" s="36">
        <f>IF(B63&lt;'Умови та класичний графік'!$J$14,C63,"")</f>
        <v>45078</v>
      </c>
      <c r="E64" s="26">
        <f>IF(B63&lt;'Умови та класичний графік'!$J$14,C64-1,"")</f>
        <v>45107</v>
      </c>
      <c r="F64" s="37">
        <f>IF(B63&lt;'Умови та класичний графік'!$J$14,E64-D64+1,"")</f>
        <v>30</v>
      </c>
      <c r="G64" s="140">
        <f>IF(B63&lt;'Умови та класичний графік'!$J$14,-(SUM(J64:L64)),"")</f>
        <v>181728.12970921036</v>
      </c>
      <c r="H64" s="140"/>
      <c r="I64" s="32">
        <f>IF(B63&lt;'Умови та класичний графік'!$J$14,I63+J64,"")</f>
        <v>9899410.0491436049</v>
      </c>
      <c r="J64" s="32">
        <f>IF(B63&lt;'Умови та класичний графік'!$J$14,PPMT($J$20/12,B64,$J$12,$J$11,0,0),"")</f>
        <v>-4286.8928321448657</v>
      </c>
      <c r="K64" s="32">
        <f>IF(B63&lt;'Умови та класичний графік'!$J$14,IPMT($J$20/12,B64,$J$12,$J$11,0,0),"")</f>
        <v>-177441.2368770655</v>
      </c>
      <c r="L64" s="30">
        <f>IF(B63&lt;'Умови та класичний графік'!$J$14,-(SUM(M64:V64)),"")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графік'!$J$14,XIRR($G$34:G64,$C$34:C64,0),"")</f>
        <v>-0.32892922837249927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графік'!$J$14,EDATE(C64,1),"")</f>
        <v>45139</v>
      </c>
      <c r="D65" s="36">
        <f>IF(B64&lt;'Умови та класичний графік'!$J$14,C64,"")</f>
        <v>45108</v>
      </c>
      <c r="E65" s="26">
        <f>IF(B64&lt;'Умови та класичний графік'!$J$14,C65-1,"")</f>
        <v>45138</v>
      </c>
      <c r="F65" s="37">
        <f>IF(B64&lt;'Умови та класичний графік'!$J$14,E65-D65+1,"")</f>
        <v>31</v>
      </c>
      <c r="G65" s="140">
        <f>IF(B64&lt;'Умови та класичний графік'!$J$14,-(SUM(J65:L65)),"")</f>
        <v>181728.12970921036</v>
      </c>
      <c r="H65" s="140"/>
      <c r="I65" s="32">
        <f>IF(B64&lt;'Умови та класичний графік'!$J$14,I64+J65,"")</f>
        <v>9895046.349481551</v>
      </c>
      <c r="J65" s="32">
        <f>IF(B64&lt;'Умови та класичний графік'!$J$14,PPMT($J$20/12,B65,$J$12,$J$11,0,0),"")</f>
        <v>-4363.6996620541277</v>
      </c>
      <c r="K65" s="32">
        <f>IF(B64&lt;'Умови та класичний графік'!$J$14,IPMT($J$20/12,B65,$J$12,$J$11,0,0),"")</f>
        <v>-177364.43004715623</v>
      </c>
      <c r="L65" s="30">
        <f>IF(B64&lt;'Умови та класичний графік'!$J$14,-(SUM(M65:V65)),"")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графік'!$J$14,XIRR($G$34:G65,$C$34:C65,0),"")</f>
        <v>-0.30643904127977784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графік'!$J$14,EDATE(C65,1),"")</f>
        <v>45170</v>
      </c>
      <c r="D66" s="36">
        <f>IF(B65&lt;'Умови та класичний графік'!$J$14,C65,"")</f>
        <v>45139</v>
      </c>
      <c r="E66" s="26">
        <f>IF(B65&lt;'Умови та класичний графік'!$J$14,C66-1,"")</f>
        <v>45169</v>
      </c>
      <c r="F66" s="37">
        <f>IF(B65&lt;'Умови та класичний графік'!$J$14,E66-D66+1,"")</f>
        <v>31</v>
      </c>
      <c r="G66" s="140">
        <f>IF(B65&lt;'Умови та класичний графік'!$J$14,-(SUM(J66:L66)),"")</f>
        <v>181728.12970921036</v>
      </c>
      <c r="H66" s="140"/>
      <c r="I66" s="32">
        <f>IF(B65&lt;'Умови та класичний графік'!$J$14,I65+J66,"")</f>
        <v>9890604.4668672178</v>
      </c>
      <c r="J66" s="32">
        <f>IF(B65&lt;'Умови та класичний графік'!$J$14,PPMT($J$20/12,B66,$J$12,$J$11,0,0),"")</f>
        <v>-4441.8826143325969</v>
      </c>
      <c r="K66" s="32">
        <f>IF(B65&lt;'Умови та класичний графік'!$J$14,IPMT($J$20/12,B66,$J$12,$J$11,0,0),"")</f>
        <v>-177286.24709487776</v>
      </c>
      <c r="L66" s="30">
        <f>IF(B65&lt;'Умови та класичний графік'!$J$14,-(SUM(M66:V66)),"")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графік'!$J$14,XIRR($G$34:G66,$C$34:C66,0),"")</f>
        <v>-0.28491975943781434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графік'!$J$14,EDATE(C66,1),"")</f>
        <v>45200</v>
      </c>
      <c r="D67" s="36">
        <f>IF(B66&lt;'Умови та класичний графік'!$J$14,C66,"")</f>
        <v>45170</v>
      </c>
      <c r="E67" s="26">
        <f>IF(B66&lt;'Умови та класичний графік'!$J$14,C67-1,"")</f>
        <v>45199</v>
      </c>
      <c r="F67" s="37">
        <f>IF(B66&lt;'Умови та класичний графік'!$J$14,E67-D67+1,"")</f>
        <v>30</v>
      </c>
      <c r="G67" s="140">
        <f>IF(B66&lt;'Умови та класичний графік'!$J$14,-(SUM(J67:L67)),"")</f>
        <v>181728.12970921036</v>
      </c>
      <c r="H67" s="140"/>
      <c r="I67" s="32">
        <f>IF(B66&lt;'Умови та класичний графік'!$J$14,I66+J67,"")</f>
        <v>9886083.0005227122</v>
      </c>
      <c r="J67" s="32">
        <f>IF(B66&lt;'Умови та класичний графік'!$J$14,PPMT($J$20/12,B67,$J$12,$J$11,0,0),"")</f>
        <v>-4521.4663445060569</v>
      </c>
      <c r="K67" s="32">
        <f>IF(B66&lt;'Умови та класичний графік'!$J$14,IPMT($J$20/12,B67,$J$12,$J$11,0,0),"")</f>
        <v>-177206.66336470432</v>
      </c>
      <c r="L67" s="30">
        <f>IF(B66&lt;'Умови та класичний графік'!$J$14,-(SUM(M67:V67)),"")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графік'!$J$14,XIRR($G$34:G67,$C$34:C67,0),"")</f>
        <v>-0.264359134214595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графік'!$J$14,EDATE(C67,1),"")</f>
        <v>45231</v>
      </c>
      <c r="D68" s="36">
        <f>IF(B67&lt;'Умови та класичний графік'!$J$14,C67,"")</f>
        <v>45200</v>
      </c>
      <c r="E68" s="26">
        <f>IF(B67&lt;'Умови та класичний графік'!$J$14,C68-1,"")</f>
        <v>45230</v>
      </c>
      <c r="F68" s="37">
        <f>IF(B67&lt;'Умови та класичний графік'!$J$14,E68-D68+1,"")</f>
        <v>31</v>
      </c>
      <c r="G68" s="140">
        <f>IF(B67&lt;'Умови та класичний графік'!$J$14,-(SUM(J68:L68)),"")</f>
        <v>181728.12970921036</v>
      </c>
      <c r="H68" s="140"/>
      <c r="I68" s="32">
        <f>IF(B67&lt;'Умови та класичний графік'!$J$14,I67+J68,"")</f>
        <v>9881480.5245728679</v>
      </c>
      <c r="J68" s="32">
        <f>IF(B67&lt;'Умови та класичний графік'!$J$14,PPMT($J$20/12,B68,$J$12,$J$11,0,0),"")</f>
        <v>-4602.4759498451231</v>
      </c>
      <c r="K68" s="32">
        <f>IF(B67&lt;'Умови та класичний графік'!$J$14,IPMT($J$20/12,B68,$J$12,$J$11,0,0),"")</f>
        <v>-177125.65375936523</v>
      </c>
      <c r="L68" s="30">
        <f>IF(B67&lt;'Умови та класичний графік'!$J$14,-(SUM(M68:V68)),"")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графік'!$J$14,XIRR($G$34:G68,$C$34:C68,0),"")</f>
        <v>-0.24470365980062636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графік'!$J$14,EDATE(C68,1),"")</f>
        <v>45261</v>
      </c>
      <c r="D69" s="36">
        <f>IF(B68&lt;'Умови та класичний графік'!$J$14,C68,"")</f>
        <v>45231</v>
      </c>
      <c r="E69" s="26">
        <f>IF(B68&lt;'Умови та класичний графік'!$J$14,C69-1,"")</f>
        <v>45260</v>
      </c>
      <c r="F69" s="37">
        <f>IF(B68&lt;'Умови та класичний графік'!$J$14,E69-D69+1,"")</f>
        <v>30</v>
      </c>
      <c r="G69" s="140">
        <f>IF(B68&lt;'Умови та класичний графік'!$J$14,-(SUM(J69:L69)),"")</f>
        <v>181728.12970921036</v>
      </c>
      <c r="H69" s="140"/>
      <c r="I69" s="32">
        <f>IF(B68&lt;'Умови та класичний графік'!$J$14,I68+J69,"")</f>
        <v>9876795.5875955876</v>
      </c>
      <c r="J69" s="32">
        <f>IF(B68&lt;'Умови та класичний графік'!$J$14,PPMT($J$20/12,B69,$J$12,$J$11,0,0),"")</f>
        <v>-4684.9369772798473</v>
      </c>
      <c r="K69" s="32">
        <f>IF(B68&lt;'Умови та класичний графік'!$J$14,IPMT($J$20/12,B69,$J$12,$J$11,0,0),"")</f>
        <v>-177043.19273193053</v>
      </c>
      <c r="L69" s="30">
        <f>IF(B68&lt;'Умови та класичний графік'!$J$14,-(SUM(M69:V69)),"")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графік'!$J$14,XIRR($G$34:G69,$C$34:C69,0),"")</f>
        <v>-0.22593259398695081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графік'!$J$14,EDATE(C69,1),"")</f>
        <v>45292</v>
      </c>
      <c r="D70" s="36">
        <f>IF(B69&lt;'Умови та класичний графік'!$J$14,C69,"")</f>
        <v>45261</v>
      </c>
      <c r="E70" s="26">
        <f>IF(B69&lt;'Умови та класичний графік'!$J$14,C70-1,"")</f>
        <v>45291</v>
      </c>
      <c r="F70" s="37">
        <f>IF(B69&lt;'Умови та класичний графік'!$J$14,E70-D70+1,"")</f>
        <v>31</v>
      </c>
      <c r="G70" s="140">
        <f>IF(B69&lt;'Умови та класичний графік'!$J$14,-(SUM(J70:L70)),"")</f>
        <v>251844.20984570275</v>
      </c>
      <c r="H70" s="140"/>
      <c r="I70" s="32">
        <f>IF(B69&lt;'Умови та класичний графік'!$J$14,I69+J70,"")</f>
        <v>9872026.7121641319</v>
      </c>
      <c r="J70" s="32">
        <f>IF(B69&lt;'Умови та класичний графік'!$J$14,PPMT($J$20/12,B70,$J$12,$J$11,0,0),"")</f>
        <v>-4768.8754314561129</v>
      </c>
      <c r="K70" s="32">
        <f>IF(B69&lt;'Умови та класичний графік'!$J$14,IPMT($J$20/12,B70,$J$12,$J$11,0,0),"")</f>
        <v>-176959.25427775425</v>
      </c>
      <c r="L70" s="30">
        <f>IF(B69&lt;'Умови та класичний графік'!$J$14,-(SUM(M70:V70)),"")</f>
        <v>-70116.080136492397</v>
      </c>
      <c r="M70" s="38"/>
      <c r="N70" s="39"/>
      <c r="O70" s="39"/>
      <c r="P70" s="32"/>
      <c r="Q70" s="40"/>
      <c r="R70" s="40"/>
      <c r="S70" s="41"/>
      <c r="T70" s="41"/>
      <c r="U70" s="33">
        <f>IF(B69&lt;'Умови та класичний графік'!$J$14,('Умови та класичний графік'!$J$15*$N$18)+(I70*$N$19),"")</f>
        <v>70116.080136492397</v>
      </c>
      <c r="V70" s="41"/>
      <c r="W70" s="43">
        <f>IF(B69&lt;'Умови та класичний графік'!$J$14,XIRR($G$34:G70,$C$34:C70,0),"")</f>
        <v>-0.20137635920364411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графік'!$J$14,EDATE(C70,1),"")</f>
        <v>45323</v>
      </c>
      <c r="D71" s="36">
        <f>IF(B70&lt;'Умови та класичний графік'!$J$14,C70,"")</f>
        <v>45292</v>
      </c>
      <c r="E71" s="26">
        <f>IF(B70&lt;'Умови та класичний графік'!$J$14,C71-1,"")</f>
        <v>45322</v>
      </c>
      <c r="F71" s="37">
        <f>IF(B70&lt;'Умови та класичний графік'!$J$14,E71-D71+1,"")</f>
        <v>31</v>
      </c>
      <c r="G71" s="140">
        <f>IF(B70&lt;'Умови та класичний графік'!$J$14,-(SUM(J71:L71)),"")</f>
        <v>181728.12970921036</v>
      </c>
      <c r="H71" s="140"/>
      <c r="I71" s="32">
        <f>IF(B70&lt;'Умови та класичний графік'!$J$14,I70+J71,"")</f>
        <v>9867172.3943811953</v>
      </c>
      <c r="J71" s="32">
        <f>IF(B70&lt;'Умови та класичний графік'!$J$14,PPMT($J$20/12,B71,$J$12,$J$11,0,0),"")</f>
        <v>-4854.3177829363676</v>
      </c>
      <c r="K71" s="32">
        <f>IF(B70&lt;'Умови та класичний графік'!$J$14,IPMT($J$20/12,B71,$J$12,$J$11,0,0),"")</f>
        <v>-176873.81192627401</v>
      </c>
      <c r="L71" s="30">
        <f>IF(B70&lt;'Умови та класичний графік'!$J$14,-(SUM(M71:V71)),"")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графік'!$J$14,XIRR($G$34:G71,$C$34:C71,0),"")</f>
        <v>-0.18463216631952672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графік'!$J$14,EDATE(C71,1),"")</f>
        <v>45352</v>
      </c>
      <c r="D72" s="36">
        <f>IF(B71&lt;'Умови та класичний графік'!$J$14,C71,"")</f>
        <v>45323</v>
      </c>
      <c r="E72" s="26">
        <f>IF(B71&lt;'Умови та класичний графік'!$J$14,C72-1,"")</f>
        <v>45351</v>
      </c>
      <c r="F72" s="37">
        <f>IF(B71&lt;'Умови та класичний графік'!$J$14,E72-D72+1,"")</f>
        <v>29</v>
      </c>
      <c r="G72" s="140">
        <f>IF(B71&lt;'Умови та класичний графік'!$J$14,-(SUM(J72:L72)),"")</f>
        <v>181728.12970921042</v>
      </c>
      <c r="H72" s="140"/>
      <c r="I72" s="32">
        <f>IF(B71&lt;'Умови та класичний графік'!$J$14,I71+J72,"")</f>
        <v>9862231.1034046486</v>
      </c>
      <c r="J72" s="32">
        <f>IF(B71&lt;'Умови та класичний графік'!$J$14,PPMT($J$20/12,B72,$J$12,$J$11,0,0),"")</f>
        <v>-4941.2909765473105</v>
      </c>
      <c r="K72" s="32">
        <f>IF(B71&lt;'Умови та класичний графік'!$J$14,IPMT($J$20/12,B72,$J$12,$J$11,0,0),"")</f>
        <v>-176786.83873266311</v>
      </c>
      <c r="L72" s="30">
        <f>IF(B71&lt;'Умови та класичний графік'!$J$14,-(SUM(M72:V72)),"")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графік'!$J$14,XIRR($G$34:G72,$C$34:C72,0),"")</f>
        <v>-0.1686252755181864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графік'!$J$14,EDATE(C72,1),"")</f>
        <v>45383</v>
      </c>
      <c r="D73" s="36">
        <f>IF(B72&lt;'Умови та класичний графік'!$J$14,C72,"")</f>
        <v>45352</v>
      </c>
      <c r="E73" s="26">
        <f>IF(B72&lt;'Умови та класичний графік'!$J$14,C73-1,"")</f>
        <v>45382</v>
      </c>
      <c r="F73" s="37">
        <f>IF(B72&lt;'Умови та класичний графік'!$J$14,E73-D73+1,"")</f>
        <v>31</v>
      </c>
      <c r="G73" s="140">
        <f>IF(B72&lt;'Умови та класичний графік'!$J$14,-(SUM(J73:L73)),"")</f>
        <v>181728.12970921036</v>
      </c>
      <c r="H73" s="140"/>
      <c r="I73" s="32">
        <f>IF(B72&lt;'Умови та класичний графік'!$J$14,I72+J73,"")</f>
        <v>9857201.2809647713</v>
      </c>
      <c r="J73" s="32">
        <f>IF(B72&lt;'Умови та класичний графік'!$J$14,PPMT($J$20/12,B73,$J$12,$J$11,0,0),"")</f>
        <v>-5029.8224398771163</v>
      </c>
      <c r="K73" s="32">
        <f>IF(B72&lt;'Умови та класичний графік'!$J$14,IPMT($J$20/12,B73,$J$12,$J$11,0,0),"")</f>
        <v>-176698.30726933325</v>
      </c>
      <c r="L73" s="30">
        <f>IF(B72&lt;'Умови та класичний графік'!$J$14,-(SUM(M73:V73)),"")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графік'!$J$14,XIRR($G$34:G73,$C$34:C73,0),"")</f>
        <v>-0.15330681893017151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графік'!$J$14,EDATE(C73,1),"")</f>
        <v>45413</v>
      </c>
      <c r="D74" s="36">
        <f>IF(B73&lt;'Умови та класичний графік'!$J$14,C73,"")</f>
        <v>45383</v>
      </c>
      <c r="E74" s="26">
        <f>IF(B73&lt;'Умови та класичний графік'!$J$14,C74-1,"")</f>
        <v>45412</v>
      </c>
      <c r="F74" s="37">
        <f>IF(B73&lt;'Умови та класичний графік'!$J$14,E74-D74+1,"")</f>
        <v>30</v>
      </c>
      <c r="G74" s="140">
        <f>IF(B73&lt;'Умови та класичний графік'!$J$14,-(SUM(J74:L74)),"")</f>
        <v>181728.12970921036</v>
      </c>
      <c r="H74" s="140"/>
      <c r="I74" s="32">
        <f>IF(B73&lt;'Умови та класичний графік'!$J$14,I73+J74,"")</f>
        <v>9852081.3408728465</v>
      </c>
      <c r="J74" s="32">
        <f>IF(B73&lt;'Умови та класичний графік'!$J$14,PPMT($J$20/12,B74,$J$12,$J$11,0,0),"")</f>
        <v>-5119.9400919249156</v>
      </c>
      <c r="K74" s="32">
        <f>IF(B73&lt;'Умови та класичний графік'!$J$14,IPMT($J$20/12,B74,$J$12,$J$11,0,0),"")</f>
        <v>-176608.18961728545</v>
      </c>
      <c r="L74" s="30">
        <f>IF(B73&lt;'Умови та класичний графік'!$J$14,-(SUM(M74:V74)),"")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графік'!$J$14,XIRR($G$34:G74,$C$34:C74,0),"")</f>
        <v>-0.13865451209176333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графік'!$J$14,EDATE(C74,1),"")</f>
        <v>45444</v>
      </c>
      <c r="D75" s="36">
        <f>IF(B74&lt;'Умови та класичний графік'!$J$14,C74,"")</f>
        <v>45413</v>
      </c>
      <c r="E75" s="26">
        <f>IF(B74&lt;'Умови та класичний графік'!$J$14,C75-1,"")</f>
        <v>45443</v>
      </c>
      <c r="F75" s="37">
        <f>IF(B74&lt;'Умови та класичний графік'!$J$14,E75-D75+1,"")</f>
        <v>31</v>
      </c>
      <c r="G75" s="140">
        <f>IF(B74&lt;'Умови та класичний графік'!$J$14,-(SUM(J75:L75)),"")</f>
        <v>181728.12970921036</v>
      </c>
      <c r="H75" s="140"/>
      <c r="I75" s="32">
        <f>IF(B74&lt;'Умови та класичний графік'!$J$14,I74+J75,"")</f>
        <v>9846869.6685209405</v>
      </c>
      <c r="J75" s="32">
        <f>IF(B74&lt;'Умови та класичний графік'!$J$14,PPMT($J$20/12,B75,$J$12,$J$11,0,0),"")</f>
        <v>-5211.6723519052366</v>
      </c>
      <c r="K75" s="32">
        <f>IF(B74&lt;'Умови та класичний графік'!$J$14,IPMT($J$20/12,B75,$J$12,$J$11,0,0),"")</f>
        <v>-176516.45735730513</v>
      </c>
      <c r="L75" s="30">
        <f>IF(B74&lt;'Умови та класичний графік'!$J$14,-(SUM(M75:V75)),"")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графік'!$J$14,XIRR($G$34:G75,$C$34:C75,0),"")</f>
        <v>-0.12463265962827949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графік'!$J$14,EDATE(C75,1),"")</f>
        <v>45474</v>
      </c>
      <c r="D76" s="36">
        <f>IF(B75&lt;'Умови та класичний графік'!$J$14,C75,"")</f>
        <v>45444</v>
      </c>
      <c r="E76" s="26">
        <f>IF(B75&lt;'Умови та класичний графік'!$J$14,C76-1,"")</f>
        <v>45473</v>
      </c>
      <c r="F76" s="37">
        <f>IF(B75&lt;'Умови та класичний графік'!$J$14,E76-D76+1,"")</f>
        <v>30</v>
      </c>
      <c r="G76" s="140">
        <f>IF(B75&lt;'Умови та класичний графік'!$J$14,-(SUM(J76:L76)),"")</f>
        <v>181728.12970921042</v>
      </c>
      <c r="H76" s="140"/>
      <c r="I76" s="32">
        <f>IF(B75&lt;'Умови та класичний графік'!$J$14,I75+J76,"")</f>
        <v>9841564.6203727294</v>
      </c>
      <c r="J76" s="32">
        <f>IF(B75&lt;'Умови та класичний графік'!$J$14,PPMT($J$20/12,B76,$J$12,$J$11,0,0),"")</f>
        <v>-5305.048148210205</v>
      </c>
      <c r="K76" s="32">
        <f>IF(B75&lt;'Умови та класичний графік'!$J$14,IPMT($J$20/12,B76,$J$12,$J$11,0,0),"")</f>
        <v>-176423.0815610002</v>
      </c>
      <c r="L76" s="30">
        <f>IF(B75&lt;'Умови та класичний графік'!$J$14,-(SUM(M76:V76)),"")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графік'!$J$14,XIRR($G$34:G76,$C$34:C76,0),"")</f>
        <v>-0.11121798615869133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графік'!$J$14,EDATE(C76,1),"")</f>
        <v>45505</v>
      </c>
      <c r="D77" s="36">
        <f>IF(B76&lt;'Умови та класичний графік'!$J$14,C76,"")</f>
        <v>45474</v>
      </c>
      <c r="E77" s="26">
        <f>IF(B76&lt;'Умови та класичний графік'!$J$14,C77-1,"")</f>
        <v>45504</v>
      </c>
      <c r="F77" s="37">
        <f>IF(B76&lt;'Умови та класичний графік'!$J$14,E77-D77+1,"")</f>
        <v>31</v>
      </c>
      <c r="G77" s="140">
        <f>IF(B76&lt;'Умови та класичний графік'!$J$14,-(SUM(J77:L77)),"")</f>
        <v>181728.12970921039</v>
      </c>
      <c r="H77" s="140"/>
      <c r="I77" s="32">
        <f>IF(B76&lt;'Умови та класичний графік'!$J$14,I76+J77,"")</f>
        <v>9836164.5234451964</v>
      </c>
      <c r="J77" s="32">
        <f>IF(B76&lt;'Умови та класичний графік'!$J$14,PPMT($J$20/12,B77,$J$12,$J$11,0,0),"")</f>
        <v>-5400.096927532305</v>
      </c>
      <c r="K77" s="32">
        <f>IF(B76&lt;'Умови та класичний графік'!$J$14,IPMT($J$20/12,B77,$J$12,$J$11,0,0),"")</f>
        <v>-176328.03278167808</v>
      </c>
      <c r="L77" s="30">
        <f>IF(B76&lt;'Умови та класичний графік'!$J$14,-(SUM(M77:V77)),"")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графік'!$J$14,XIRR($G$34:G77,$C$34:C77,0),"")</f>
        <v>-9.8377910619862369E-2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графік'!$J$14,EDATE(C77,1),"")</f>
        <v>45536</v>
      </c>
      <c r="D78" s="36">
        <f>IF(B77&lt;'Умови та класичний графік'!$J$14,C77,"")</f>
        <v>45505</v>
      </c>
      <c r="E78" s="26">
        <f>IF(B77&lt;'Умови та класичний графік'!$J$14,C78-1,"")</f>
        <v>45535</v>
      </c>
      <c r="F78" s="37">
        <f>IF(B77&lt;'Умови та класичний графік'!$J$14,E78-D78+1,"")</f>
        <v>31</v>
      </c>
      <c r="G78" s="140">
        <f>IF(B77&lt;'Умови та класичний графік'!$J$14,-(SUM(J78:L78)),"")</f>
        <v>181728.12970921039</v>
      </c>
      <c r="H78" s="140"/>
      <c r="I78" s="32">
        <f>IF(B77&lt;'Умови та класичний графік'!$J$14,I77+J78,"")</f>
        <v>9830667.6747810449</v>
      </c>
      <c r="J78" s="32">
        <f>IF(B77&lt;'Умови та класичний графік'!$J$14,PPMT($J$20/12,B78,$J$12,$J$11,0,0),"")</f>
        <v>-5496.8486641505924</v>
      </c>
      <c r="K78" s="32">
        <f>IF(B77&lt;'Умови та класичний графік'!$J$14,IPMT($J$20/12,B78,$J$12,$J$11,0,0),"")</f>
        <v>-176231.28104505979</v>
      </c>
      <c r="L78" s="30">
        <f>IF(B77&lt;'Умови та класичний графік'!$J$14,-(SUM(M78:V78)),"")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графік'!$J$14,XIRR($G$34:G78,$C$34:C78,0),"")</f>
        <v>-8.6086371141485901E-2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графік'!$J$14,EDATE(C78,1),"")</f>
        <v>45566</v>
      </c>
      <c r="D79" s="36">
        <f>IF(B78&lt;'Умови та класичний графік'!$J$14,C78,"")</f>
        <v>45536</v>
      </c>
      <c r="E79" s="26">
        <f>IF(B78&lt;'Умови та класичний графік'!$J$14,C79-1,"")</f>
        <v>45565</v>
      </c>
      <c r="F79" s="37">
        <f>IF(B78&lt;'Умови та класичний графік'!$J$14,E79-D79+1,"")</f>
        <v>30</v>
      </c>
      <c r="G79" s="140">
        <f>IF(B78&lt;'Умови та класичний графік'!$J$14,-(SUM(J79:L79)),"")</f>
        <v>181728.12970921036</v>
      </c>
      <c r="H79" s="140"/>
      <c r="I79" s="32">
        <f>IF(B78&lt;'Умови та класичний графік'!$J$14,I78+J79,"")</f>
        <v>9825072.3409116622</v>
      </c>
      <c r="J79" s="32">
        <f>IF(B78&lt;'Умови та класичний графік'!$J$14,PPMT($J$20/12,B79,$J$12,$J$11,0,0),"")</f>
        <v>-5595.3338693832902</v>
      </c>
      <c r="K79" s="32">
        <f>IF(B78&lt;'Умови та класичний графік'!$J$14,IPMT($J$20/12,B79,$J$12,$J$11,0,0),"")</f>
        <v>-176132.79583982707</v>
      </c>
      <c r="L79" s="30">
        <f>IF(B78&lt;'Умови та класичний графік'!$J$14,-(SUM(M79:V79)),"")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графік'!$J$14,XIRR($G$34:G79,$C$34:C79,0),"")</f>
        <v>-7.4320509570874271E-2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графік'!$J$14,EDATE(C79,1),"")</f>
        <v>45597</v>
      </c>
      <c r="D80" s="36">
        <f>IF(B79&lt;'Умови та класичний графік'!$J$14,C79,"")</f>
        <v>45566</v>
      </c>
      <c r="E80" s="26">
        <f>IF(B79&lt;'Умови та класичний графік'!$J$14,C80-1,"")</f>
        <v>45596</v>
      </c>
      <c r="F80" s="37">
        <f>IF(B79&lt;'Умови та класичний графік'!$J$14,E80-D80+1,"")</f>
        <v>31</v>
      </c>
      <c r="G80" s="140">
        <f>IF(B79&lt;'Умови та класичний графік'!$J$14,-(SUM(J80:L80)),"")</f>
        <v>181728.12970921036</v>
      </c>
      <c r="H80" s="140"/>
      <c r="I80" s="32">
        <f>IF(B79&lt;'Умови та класичний графік'!$J$14,I79+J80,"")</f>
        <v>9819376.7573104519</v>
      </c>
      <c r="J80" s="32">
        <f>IF(B79&lt;'Умови та класичний графік'!$J$14,PPMT($J$20/12,B80,$J$12,$J$11,0,0),"")</f>
        <v>-5695.5836012097425</v>
      </c>
      <c r="K80" s="32">
        <f>IF(B79&lt;'Умови та класичний графік'!$J$14,IPMT($J$20/12,B80,$J$12,$J$11,0,0),"")</f>
        <v>-176032.54610800062</v>
      </c>
      <c r="L80" s="30">
        <f>IF(B79&lt;'Умови та класичний графік'!$J$14,-(SUM(M80:V80)),"")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графік'!$J$14,XIRR($G$34:G80,$C$34:C80,0),"")</f>
        <v>-6.3052535520307734E-2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графік'!$J$14,EDATE(C80,1),"")</f>
        <v>45627</v>
      </c>
      <c r="D81" s="36">
        <f>IF(B80&lt;'Умови та класичний графік'!$J$14,C80,"")</f>
        <v>45597</v>
      </c>
      <c r="E81" s="26">
        <f>IF(B80&lt;'Умови та класичний графік'!$J$14,C81-1,"")</f>
        <v>45626</v>
      </c>
      <c r="F81" s="37">
        <f>IF(B80&lt;'Умови та класичний графік'!$J$14,E81-D81+1,"")</f>
        <v>30</v>
      </c>
      <c r="G81" s="140">
        <f>IF(B80&lt;'Умови та класичний графік'!$J$14,-(SUM(J81:L81)),"")</f>
        <v>181728.12970921039</v>
      </c>
      <c r="H81" s="140"/>
      <c r="I81" s="32">
        <f>IF(B80&lt;'Умови та класичний графік'!$J$14,I80+J81,"")</f>
        <v>9813579.1278363876</v>
      </c>
      <c r="J81" s="32">
        <f>IF(B80&lt;'Умови та класичний графік'!$J$14,PPMT($J$20/12,B81,$J$12,$J$11,0,0),"")</f>
        <v>-5797.629474064749</v>
      </c>
      <c r="K81" s="32">
        <f>IF(B80&lt;'Умови та класичний графік'!$J$14,IPMT($J$20/12,B81,$J$12,$J$11,0,0),"")</f>
        <v>-175930.50023514565</v>
      </c>
      <c r="L81" s="30">
        <f>IF(B80&lt;'Умови та класичний графік'!$J$14,-(SUM(M81:V81)),"")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графік'!$J$14,XIRR($G$34:G81,$C$34:C81,0),"")</f>
        <v>-5.2260671160481866E-2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графік'!$J$14,EDATE(C81,1),"")</f>
        <v>45658</v>
      </c>
      <c r="D82" s="36">
        <f>IF(B81&lt;'Умови та класичний графік'!$J$14,C81,"")</f>
        <v>45627</v>
      </c>
      <c r="E82" s="26">
        <f>IF(B81&lt;'Умови та класичний графік'!$J$14,C82-1,"")</f>
        <v>45657</v>
      </c>
      <c r="F82" s="37">
        <f>IF(B81&lt;'Умови та класичний графік'!$J$14,E82-D82+1,"")</f>
        <v>31</v>
      </c>
      <c r="G82" s="140">
        <f>IF(B81&lt;'Умови та класичний графік'!$J$14,-(SUM(J82:L82)),"")</f>
        <v>251651.16258171311</v>
      </c>
      <c r="H82" s="140"/>
      <c r="I82" s="32">
        <f>IF(B81&lt;'Умови та класичний графік'!$J$14,I81+J82,"")</f>
        <v>9807677.6241675783</v>
      </c>
      <c r="J82" s="32">
        <f>IF(B81&lt;'Умови та класичний графік'!$J$14,PPMT($J$20/12,B82,$J$12,$J$11,0,0),"")</f>
        <v>-5901.5036688084083</v>
      </c>
      <c r="K82" s="32">
        <f>IF(B81&lt;'Умови та класичний графік'!$J$14,IPMT($J$20/12,B82,$J$12,$J$11,0,0),"")</f>
        <v>-175826.62604040196</v>
      </c>
      <c r="L82" s="30">
        <f>IF(B81&lt;'Умови та класичний графік'!$J$14,-(SUM(M82:V82)),"")</f>
        <v>-69923.032872502736</v>
      </c>
      <c r="M82" s="38"/>
      <c r="N82" s="39"/>
      <c r="O82" s="39"/>
      <c r="P82" s="32"/>
      <c r="Q82" s="40"/>
      <c r="R82" s="40"/>
      <c r="S82" s="41"/>
      <c r="T82" s="41"/>
      <c r="U82" s="33">
        <f>IF(B81&lt;'Умови та класичний графік'!$J$14,('Умови та класичний графік'!$J$15*$N$18)+(I82*$N$19),"")</f>
        <v>69923.032872502736</v>
      </c>
      <c r="V82" s="41"/>
      <c r="W82" s="43">
        <f>IF(B81&lt;'Умови та класичний графік'!$J$14,XIRR($G$34:G82,$C$34:C82,0),"")</f>
        <v>-3.8066048911251128E-2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графік'!$J$14,EDATE(C82,1),"")</f>
        <v>45689</v>
      </c>
      <c r="D83" s="36">
        <f>IF(B82&lt;'Умови та класичний графік'!$J$14,C82,"")</f>
        <v>45658</v>
      </c>
      <c r="E83" s="26">
        <f>IF(B82&lt;'Умови та класичний графік'!$J$14,C83-1,"")</f>
        <v>45688</v>
      </c>
      <c r="F83" s="37">
        <f>IF(B82&lt;'Умови та класичний графік'!$J$14,E83-D83+1,"")</f>
        <v>31</v>
      </c>
      <c r="G83" s="140">
        <f>IF(B82&lt;'Умови та класичний графік'!$J$14,-(SUM(J83:L83)),"")</f>
        <v>181728.12970921039</v>
      </c>
      <c r="H83" s="140"/>
      <c r="I83" s="32">
        <f>IF(B82&lt;'Умови та класичний графік'!$J$14,I82+J83,"")</f>
        <v>9801670.3852247037</v>
      </c>
      <c r="J83" s="32">
        <f>IF(B82&lt;'Умови та класичний графік'!$J$14,PPMT($J$20/12,B83,$J$12,$J$11,0,0),"")</f>
        <v>-6007.238942874561</v>
      </c>
      <c r="K83" s="32">
        <f>IF(B82&lt;'Умови та класичний графік'!$J$14,IPMT($J$20/12,B83,$J$12,$J$11,0,0),"")</f>
        <v>-175720.89076633583</v>
      </c>
      <c r="L83" s="30">
        <f>IF(B82&lt;'Умови та класичний графік'!$J$14,-(SUM(M83:V83)),"")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графік'!$J$14,XIRR($G$34:G83,$C$34:C83,0),"")</f>
        <v>-2.8322195089720191E-2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графік'!$J$14,EDATE(C83,1),"")</f>
        <v>45717</v>
      </c>
      <c r="D84" s="36">
        <f>IF(B83&lt;'Умови та класичний графік'!$J$14,C83,"")</f>
        <v>45689</v>
      </c>
      <c r="E84" s="26">
        <f>IF(B83&lt;'Умови та класичний графік'!$J$14,C84-1,"")</f>
        <v>45716</v>
      </c>
      <c r="F84" s="37">
        <f>IF(B83&lt;'Умови та класичний графік'!$J$14,E84-D84+1,"")</f>
        <v>28</v>
      </c>
      <c r="G84" s="140">
        <f>IF(B83&lt;'Умови та класичний графік'!$J$14,-(SUM(J84:L84)),"")</f>
        <v>181728.12970921036</v>
      </c>
      <c r="H84" s="140"/>
      <c r="I84" s="32">
        <f>IF(B83&lt;'Умови та класичний графік'!$J$14,I83+J84,"")</f>
        <v>9795555.5165841021</v>
      </c>
      <c r="J84" s="32">
        <f>IF(B83&lt;'Умови та класичний графік'!$J$14,PPMT($J$20/12,B84,$J$12,$J$11,0,0),"")</f>
        <v>-6114.868640601062</v>
      </c>
      <c r="K84" s="32">
        <f>IF(B83&lt;'Умови та класичний графік'!$J$14,IPMT($J$20/12,B84,$J$12,$J$11,0,0),"")</f>
        <v>-175613.26106860931</v>
      </c>
      <c r="L84" s="30">
        <f>IF(B83&lt;'Умови та класичний графік'!$J$14,-(SUM(M84:V84)),"")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графік'!$J$14,XIRR($G$34:G84,$C$34:C84,0),"")</f>
        <v>-1.8975825768150392E-2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графік'!$J$14,EDATE(C84,1),"")</f>
        <v>45748</v>
      </c>
      <c r="D85" s="36">
        <f>IF(B84&lt;'Умови та класичний графік'!$J$14,C84,"")</f>
        <v>45717</v>
      </c>
      <c r="E85" s="26">
        <f>IF(B84&lt;'Умови та класичний графік'!$J$14,C85-1,"")</f>
        <v>45747</v>
      </c>
      <c r="F85" s="37">
        <f>IF(B84&lt;'Умови та класичний графік'!$J$14,E85-D85+1,"")</f>
        <v>31</v>
      </c>
      <c r="G85" s="140">
        <f>IF(B84&lt;'Умови та класичний графік'!$J$14,-(SUM(J85:L85)),"")</f>
        <v>181728.12970921036</v>
      </c>
      <c r="H85" s="140"/>
      <c r="I85" s="32">
        <f>IF(B84&lt;'Умови та класичний графік'!$J$14,I84+J85,"")</f>
        <v>9789331.0898803566</v>
      </c>
      <c r="J85" s="32">
        <f>IF(B84&lt;'Умови та класичний графік'!$J$14,PPMT($J$20/12,B85,$J$12,$J$11,0,0),"")</f>
        <v>-6224.4267037451646</v>
      </c>
      <c r="K85" s="32">
        <f>IF(B84&lt;'Умови та класичний графік'!$J$14,IPMT($J$20/12,B85,$J$12,$J$11,0,0),"")</f>
        <v>-175503.70300546521</v>
      </c>
      <c r="L85" s="30">
        <f>IF(B84&lt;'Умови та класичний графік'!$J$14,-(SUM(M85:V85)),"")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графік'!$J$14,XIRR($G$34:G85,$C$34:C85,0),"")</f>
        <v>-1.0006124232523143E-2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графік'!$J$14,EDATE(C85,1),"")</f>
        <v>45778</v>
      </c>
      <c r="D86" s="36">
        <f>IF(B85&lt;'Умови та класичний графік'!$J$14,C85,"")</f>
        <v>45748</v>
      </c>
      <c r="E86" s="26">
        <f>IF(B85&lt;'Умови та класичний графік'!$J$14,C86-1,"")</f>
        <v>45777</v>
      </c>
      <c r="F86" s="37">
        <f>IF(B85&lt;'Умови та класичний графік'!$J$14,E86-D86+1,"")</f>
        <v>30</v>
      </c>
      <c r="G86" s="140">
        <f>IF(B85&lt;'Умови та класичний графік'!$J$14,-(SUM(J86:L86)),"")</f>
        <v>181728.12970921039</v>
      </c>
      <c r="H86" s="140"/>
      <c r="I86" s="32">
        <f>IF(B85&lt;'Умови та класичний графік'!$J$14,I85+J86,"")</f>
        <v>9782995.1421981696</v>
      </c>
      <c r="J86" s="32">
        <f>IF(B85&lt;'Умови та класичний графік'!$J$14,PPMT($J$20/12,B86,$J$12,$J$11,0,0),"")</f>
        <v>-6335.947682187264</v>
      </c>
      <c r="K86" s="32">
        <f>IF(B85&lt;'Умови та класичний графік'!$J$14,IPMT($J$20/12,B86,$J$12,$J$11,0,0),"")</f>
        <v>-175392.18202702314</v>
      </c>
      <c r="L86" s="30">
        <f>IF(B85&lt;'Умови та класичний графік'!$J$14,-(SUM(M86:V86)),"")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графік'!$J$14,XIRR($G$34:G86,$C$34:C86,0),"")</f>
        <v>-1.3961405814811585E-3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графік'!$J$14,EDATE(C86,1),"")</f>
        <v>45809</v>
      </c>
      <c r="D87" s="36">
        <f>IF(B86&lt;'Умови та класичний графік'!$J$14,C86,"")</f>
        <v>45778</v>
      </c>
      <c r="E87" s="26">
        <f>IF(B86&lt;'Умови та класичний графік'!$J$14,C87-1,"")</f>
        <v>45808</v>
      </c>
      <c r="F87" s="37">
        <f>IF(B86&lt;'Умови та класичний графік'!$J$14,E87-D87+1,"")</f>
        <v>31</v>
      </c>
      <c r="G87" s="140">
        <f>IF(B86&lt;'Умови та класичний графік'!$J$14,-(SUM(J87:L87)),"")</f>
        <v>181728.12970921039</v>
      </c>
      <c r="H87" s="140"/>
      <c r="I87" s="32">
        <f>IF(B86&lt;'Умови та класичний графік'!$J$14,I86+J87,"")</f>
        <v>9776545.6754533425</v>
      </c>
      <c r="J87" s="32">
        <f>IF(B86&lt;'Умови та класичний графік'!$J$14,PPMT($J$20/12,B87,$J$12,$J$11,0,0),"")</f>
        <v>-6449.4667448264545</v>
      </c>
      <c r="K87" s="32">
        <f>IF(B86&lt;'Умови та класичний графік'!$J$14,IPMT($J$20/12,B87,$J$12,$J$11,0,0),"")</f>
        <v>-175278.66296438393</v>
      </c>
      <c r="L87" s="30">
        <f>IF(B86&lt;'Умови та класичний графік'!$J$14,-(SUM(M87:V87)),"")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графік'!$J$14,XIRR($G$34:G87,$C$34:C87,0),"")</f>
        <v>6.8708056640625018E-3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графік'!$J$14,EDATE(C87,1),"")</f>
        <v>45839</v>
      </c>
      <c r="D88" s="36">
        <f>IF(B87&lt;'Умови та класичний графік'!$J$14,C87,"")</f>
        <v>45809</v>
      </c>
      <c r="E88" s="26">
        <f>IF(B87&lt;'Умови та класичний графік'!$J$14,C88-1,"")</f>
        <v>45838</v>
      </c>
      <c r="F88" s="37">
        <f>IF(B87&lt;'Умови та класичний графік'!$J$14,E88-D88+1,"")</f>
        <v>30</v>
      </c>
      <c r="G88" s="140">
        <f>IF(B87&lt;'Умови та класичний графік'!$J$14,-(SUM(J88:L88)),"")</f>
        <v>181728.12970921036</v>
      </c>
      <c r="H88" s="140"/>
      <c r="I88" s="32">
        <f>IF(B87&lt;'Умови та класичний графік'!$J$14,I87+J88,"")</f>
        <v>9769980.6557626706</v>
      </c>
      <c r="J88" s="32">
        <f>IF(B87&lt;'Умови та класичний графік'!$J$14,PPMT($J$20/12,B88,$J$12,$J$11,0,0),"")</f>
        <v>-6565.0196906712608</v>
      </c>
      <c r="K88" s="32">
        <f>IF(B87&lt;'Умови та класичний графік'!$J$14,IPMT($J$20/12,B88,$J$12,$J$11,0,0),"")</f>
        <v>-175163.1100185391</v>
      </c>
      <c r="L88" s="30">
        <f>IF(B87&lt;'Умови та класичний графік'!$J$14,-(SUM(M88:V88)),"")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графік'!$J$14,XIRR($G$34:G88,$C$34:C88,0),"")</f>
        <v>1.48105517578125E-2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графік'!$J$14,EDATE(C88,1),"")</f>
        <v>45870</v>
      </c>
      <c r="D89" s="36">
        <f>IF(B88&lt;'Умови та класичний графік'!$J$14,C88,"")</f>
        <v>45839</v>
      </c>
      <c r="E89" s="26">
        <f>IF(B88&lt;'Умови та класичний графік'!$J$14,C89-1,"")</f>
        <v>45869</v>
      </c>
      <c r="F89" s="37">
        <f>IF(B88&lt;'Умови та класичний графік'!$J$14,E89-D89+1,"")</f>
        <v>31</v>
      </c>
      <c r="G89" s="140">
        <f>IF(B88&lt;'Умови та класичний графік'!$J$14,-(SUM(J89:L89)),"")</f>
        <v>181728.12970921039</v>
      </c>
      <c r="H89" s="140"/>
      <c r="I89" s="32">
        <f>IF(B88&lt;'Умови та класичний графік'!$J$14,I88+J89,"")</f>
        <v>9763298.0128025413</v>
      </c>
      <c r="J89" s="32">
        <f>IF(B88&lt;'Умови та класичний графік'!$J$14,PPMT($J$20/12,B89,$J$12,$J$11,0,0),"")</f>
        <v>-6682.6429601291202</v>
      </c>
      <c r="K89" s="32">
        <f>IF(B88&lt;'Умови та класичний графік'!$J$14,IPMT($J$20/12,B89,$J$12,$J$11,0,0),"")</f>
        <v>-175045.48674908126</v>
      </c>
      <c r="L89" s="30">
        <f>IF(B88&lt;'Умови та класичний графік'!$J$14,-(SUM(M89:V89)),"")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графік'!$J$14,XIRR($G$34:G89,$C$34:C89,0),"")</f>
        <v>2.2437924804687502E-2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графік'!$J$14,EDATE(C89,1),"")</f>
        <v>45901</v>
      </c>
      <c r="D90" s="36">
        <f>IF(B89&lt;'Умови та класичний графік'!$J$14,C89,"")</f>
        <v>45870</v>
      </c>
      <c r="E90" s="26">
        <f>IF(B89&lt;'Умови та класичний графік'!$J$14,C90-1,"")</f>
        <v>45900</v>
      </c>
      <c r="F90" s="37">
        <f>IF(B89&lt;'Умови та класичний графік'!$J$14,E90-D90+1,"")</f>
        <v>31</v>
      </c>
      <c r="G90" s="140">
        <f>IF(B89&lt;'Умови та класичний графік'!$J$14,-(SUM(J90:L90)),"")</f>
        <v>181728.12970921036</v>
      </c>
      <c r="H90" s="140"/>
      <c r="I90" s="32">
        <f>IF(B89&lt;'Умови та класичний графік'!$J$14,I89+J90,"")</f>
        <v>9756495.6391560435</v>
      </c>
      <c r="J90" s="32">
        <f>IF(B89&lt;'Умови та класичний графік'!$J$14,PPMT($J$20/12,B90,$J$12,$J$11,0,0),"")</f>
        <v>-6802.373646498103</v>
      </c>
      <c r="K90" s="32">
        <f>IF(B89&lt;'Умови та класичний графік'!$J$14,IPMT($J$20/12,B90,$J$12,$J$11,0,0),"")</f>
        <v>-174925.75606271226</v>
      </c>
      <c r="L90" s="30">
        <f>IF(B89&lt;'Умови та класичний графік'!$J$14,-(SUM(M90:V90)),"")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графік'!$J$14,XIRR($G$34:G90,$C$34:C90,0),"")</f>
        <v>2.9767045898437497E-2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графік'!$J$14,EDATE(C90,1),"")</f>
        <v>45931</v>
      </c>
      <c r="D91" s="36">
        <f>IF(B90&lt;'Умови та класичний графік'!$J$14,C90,"")</f>
        <v>45901</v>
      </c>
      <c r="E91" s="26">
        <f>IF(B90&lt;'Умови та класичний графік'!$J$14,C91-1,"")</f>
        <v>45930</v>
      </c>
      <c r="F91" s="37">
        <f>IF(B90&lt;'Умови та класичний графік'!$J$14,E91-D91+1,"")</f>
        <v>30</v>
      </c>
      <c r="G91" s="140">
        <f>IF(B90&lt;'Умови та класичний графік'!$J$14,-(SUM(J91:L91)),"")</f>
        <v>181728.12970921039</v>
      </c>
      <c r="H91" s="140"/>
      <c r="I91" s="32">
        <f>IF(B90&lt;'Умови та класичний графік'!$J$14,I90+J91,"")</f>
        <v>9749571.3896483798</v>
      </c>
      <c r="J91" s="32">
        <f>IF(B90&lt;'Умови та класичний графік'!$J$14,PPMT($J$20/12,B91,$J$12,$J$11,0,0),"")</f>
        <v>-6924.2495076645255</v>
      </c>
      <c r="K91" s="32">
        <f>IF(B90&lt;'Умови та класичний графік'!$J$14,IPMT($J$20/12,B91,$J$12,$J$11,0,0),"")</f>
        <v>-174803.88020154586</v>
      </c>
      <c r="L91" s="30">
        <f>IF(B90&lt;'Умови та класичний графік'!$J$14,-(SUM(M91:V91)),"")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графік'!$J$14,XIRR($G$34:G91,$C$34:C91,0),"")</f>
        <v>3.6812075195312502E-2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графік'!$J$14,EDATE(C91,1),"")</f>
        <v>45962</v>
      </c>
      <c r="D92" s="36">
        <f>IF(B91&lt;'Умови та класичний графік'!$J$14,C91,"")</f>
        <v>45931</v>
      </c>
      <c r="E92" s="26">
        <f>IF(B91&lt;'Умови та класичний графік'!$J$14,C92-1,"")</f>
        <v>45961</v>
      </c>
      <c r="F92" s="37">
        <f>IF(B91&lt;'Умови та класичний графік'!$J$14,E92-D92+1,"")</f>
        <v>31</v>
      </c>
      <c r="G92" s="140">
        <f>IF(B91&lt;'Умови та класичний графік'!$J$14,-(SUM(J92:L92)),"")</f>
        <v>181728.12970921036</v>
      </c>
      <c r="H92" s="140"/>
      <c r="I92" s="32">
        <f>IF(B91&lt;'Умови та класичний графік'!$J$14,I91+J92,"")</f>
        <v>9742523.0806703698</v>
      </c>
      <c r="J92" s="32">
        <f>IF(B91&lt;'Умови та класичний графік'!$J$14,PPMT($J$20/12,B92,$J$12,$J$11,0,0),"")</f>
        <v>-7048.3089780101818</v>
      </c>
      <c r="K92" s="32">
        <f>IF(B91&lt;'Умови та класичний графік'!$J$14,IPMT($J$20/12,B92,$J$12,$J$11,0,0),"")</f>
        <v>-174679.82073120019</v>
      </c>
      <c r="L92" s="30">
        <f>IF(B91&lt;'Умови та класичний графік'!$J$14,-(SUM(M92:V92)),"")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графік'!$J$14,XIRR($G$34:G92,$C$34:C92,0),"")</f>
        <v>4.3585385742187496E-2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графік'!$J$14,EDATE(C92,1),"")</f>
        <v>45992</v>
      </c>
      <c r="D93" s="36">
        <f>IF(B92&lt;'Умови та класичний графік'!$J$14,C92,"")</f>
        <v>45962</v>
      </c>
      <c r="E93" s="26">
        <f>IF(B92&lt;'Умови та класичний графік'!$J$14,C93-1,"")</f>
        <v>45991</v>
      </c>
      <c r="F93" s="37">
        <f>IF(B92&lt;'Умови та класичний графік'!$J$14,E93-D93+1,"")</f>
        <v>30</v>
      </c>
      <c r="G93" s="140">
        <f>IF(B92&lt;'Умови та класичний графік'!$J$14,-(SUM(J93:L93)),"")</f>
        <v>181728.12970921039</v>
      </c>
      <c r="H93" s="140"/>
      <c r="I93" s="32">
        <f>IF(B92&lt;'Умови та класичний графік'!$J$14,I92+J93,"")</f>
        <v>9735348.4894898366</v>
      </c>
      <c r="J93" s="32">
        <f>IF(B92&lt;'Умови та класичний графік'!$J$14,PPMT($J$20/12,B93,$J$12,$J$11,0,0),"")</f>
        <v>-7174.591180532866</v>
      </c>
      <c r="K93" s="32">
        <f>IF(B92&lt;'Умови та класичний графік'!$J$14,IPMT($J$20/12,B93,$J$12,$J$11,0,0),"")</f>
        <v>-174553.53852867751</v>
      </c>
      <c r="L93" s="30">
        <f>IF(B92&lt;'Умови та класичний графік'!$J$14,-(SUM(M93:V93)),"")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графік'!$J$14,XIRR($G$34:G93,$C$34:C93,0),"")</f>
        <v>5.0100043945312506E-2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графік'!$J$14,EDATE(C93,1),"")</f>
        <v>46023</v>
      </c>
      <c r="D94" s="36">
        <f>IF(B93&lt;'Умови та класичний графік'!$J$14,C93,"")</f>
        <v>45992</v>
      </c>
      <c r="E94" s="26">
        <f>IF(B93&lt;'Умови та класичний графік'!$J$14,C94-1,"")</f>
        <v>46022</v>
      </c>
      <c r="F94" s="37">
        <f>IF(B93&lt;'Умови та класичний графік'!$J$14,E94-D94+1,"")</f>
        <v>31</v>
      </c>
      <c r="G94" s="140">
        <f>IF(B93&lt;'Умови та класичний графік'!$J$14,-(SUM(J94:L94)),"")</f>
        <v>251412.26576986234</v>
      </c>
      <c r="H94" s="140"/>
      <c r="I94" s="32">
        <f>IF(B93&lt;'Умови та класичний графік'!$J$14,I93+J94,"")</f>
        <v>9728045.353550652</v>
      </c>
      <c r="J94" s="32">
        <f>IF(B93&lt;'Умови та класичний графік'!$J$14,PPMT($J$20/12,B94,$J$12,$J$11,0,0),"")</f>
        <v>-7303.1359391840788</v>
      </c>
      <c r="K94" s="32">
        <f>IF(B93&lt;'Умови та класичний графік'!$J$14,IPMT($J$20/12,B94,$J$12,$J$11,0,0),"")</f>
        <v>-174424.99377002631</v>
      </c>
      <c r="L94" s="30">
        <f>IF(B93&lt;'Умови та класичний графік'!$J$14,-(SUM(M94:V94)),"")</f>
        <v>-69684.136060651959</v>
      </c>
      <c r="M94" s="38"/>
      <c r="N94" s="39"/>
      <c r="O94" s="39"/>
      <c r="P94" s="32"/>
      <c r="Q94" s="40"/>
      <c r="R94" s="40"/>
      <c r="S94" s="41"/>
      <c r="T94" s="41"/>
      <c r="U94" s="33">
        <f>IF(B93&lt;'Умови та класичний графік'!$J$14,('Умови та класичний графік'!$J$15*$N$18)+(I94*$N$19),"")</f>
        <v>69684.136060651959</v>
      </c>
      <c r="V94" s="41"/>
      <c r="W94" s="43">
        <f>IF(B93&lt;'Умови та класичний графік'!$J$14,XIRR($G$34:G94,$C$34:C94,0),"")</f>
        <v>5.8714458007812512E-2</v>
      </c>
      <c r="X94" s="42"/>
      <c r="Y94" s="35"/>
    </row>
    <row r="95" spans="2:25" x14ac:dyDescent="0.2">
      <c r="B95" s="25">
        <v>61</v>
      </c>
      <c r="C95" s="36">
        <f>IF(B94&lt;'Умови та класичний графік'!$J$14,EDATE(C94,1),"")</f>
        <v>46054</v>
      </c>
      <c r="D95" s="36">
        <f>IF(B94&lt;'Умови та класичний графік'!$J$14,C94,"")</f>
        <v>46023</v>
      </c>
      <c r="E95" s="26">
        <f>IF(B94&lt;'Умови та класичний графік'!$J$14,C95-1,"")</f>
        <v>46053</v>
      </c>
      <c r="F95" s="37">
        <f>IF(B94&lt;'Умови та класичний графік'!$J$14,E95-D95+1,"")</f>
        <v>31</v>
      </c>
      <c r="G95" s="140">
        <f>IF(B94&lt;'Умови та класичний графік'!$J$14,-(SUM(J95:L95)),"")</f>
        <v>181728.12970921039</v>
      </c>
      <c r="H95" s="140"/>
      <c r="I95" s="32">
        <f>IF(B94&lt;'Умови та класичний графік'!$J$14,I94+J95,"")</f>
        <v>9720611.3697592244</v>
      </c>
      <c r="J95" s="32">
        <f>IF(B94&lt;'Умови та класичний графік'!$J$14,PPMT($J$20/12,B95,$J$12,$J$11,0,0),"")</f>
        <v>-7433.9837914277932</v>
      </c>
      <c r="K95" s="32">
        <f>IF(B94&lt;'Умови та класичний графік'!$J$14,IPMT($J$20/12,B95,$J$12,$J$11,0,0),"")</f>
        <v>-174294.14591778259</v>
      </c>
      <c r="L95" s="30">
        <f>IF(B94&lt;'Умови та класичний графік'!$J$14,-(SUM(M95:V95)),"")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графік'!$J$14,XIRR($G$34:G95,$C$34:C95,0),"")</f>
        <v>6.4669165039062518E-2</v>
      </c>
      <c r="X95" s="42"/>
      <c r="Y95" s="35"/>
    </row>
    <row r="96" spans="2:25" x14ac:dyDescent="0.2">
      <c r="B96" s="25">
        <v>62</v>
      </c>
      <c r="C96" s="36">
        <f>IF(B95&lt;'Умови та класичний графік'!$J$14,EDATE(C95,1),"")</f>
        <v>46082</v>
      </c>
      <c r="D96" s="36">
        <f>IF(B95&lt;'Умови та класичний графік'!$J$14,C95,"")</f>
        <v>46054</v>
      </c>
      <c r="E96" s="26">
        <f>IF(B95&lt;'Умови та класичний графік'!$J$14,C96-1,"")</f>
        <v>46081</v>
      </c>
      <c r="F96" s="37">
        <f>IF(B95&lt;'Умови та класичний графік'!$J$14,E96-D96+1,"")</f>
        <v>28</v>
      </c>
      <c r="G96" s="140">
        <f>IF(B95&lt;'Умови та класичний графік'!$J$14,-(SUM(J96:L96)),"")</f>
        <v>181728.12970921039</v>
      </c>
      <c r="H96" s="140"/>
      <c r="I96" s="32">
        <f>IF(B95&lt;'Умови та класичний графік'!$J$14,I95+J96,"")</f>
        <v>9713044.1937582009</v>
      </c>
      <c r="J96" s="32">
        <f>IF(B95&lt;'Умови та класичний графік'!$J$14,PPMT($J$20/12,B96,$J$12,$J$11,0,0),"")</f>
        <v>-7567.176001024206</v>
      </c>
      <c r="K96" s="32">
        <f>IF(B95&lt;'Умови та класичний графік'!$J$14,IPMT($J$20/12,B96,$J$12,$J$11,0,0),"")</f>
        <v>-174160.95370818619</v>
      </c>
      <c r="L96" s="30">
        <f>IF(B95&lt;'Умови та класичний графік'!$J$14,-(SUM(M96:V96)),"")</f>
        <v>0</v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>
        <f>IF(B95&lt;'Умови та класичний графік'!$J$14,XIRR($G$34:G96,$C$34:C96,0),"")</f>
        <v>7.0405844726562514E-2</v>
      </c>
      <c r="X96" s="42"/>
      <c r="Y96" s="35"/>
    </row>
    <row r="97" spans="2:25" x14ac:dyDescent="0.2">
      <c r="B97" s="25">
        <v>63</v>
      </c>
      <c r="C97" s="36">
        <f>IF(B96&lt;'Умови та класичний графік'!$J$14,EDATE(C96,1),"")</f>
        <v>46113</v>
      </c>
      <c r="D97" s="36">
        <f>IF(B96&lt;'Умови та класичний графік'!$J$14,C96,"")</f>
        <v>46082</v>
      </c>
      <c r="E97" s="26">
        <f>IF(B96&lt;'Умови та класичний графік'!$J$14,C97-1,"")</f>
        <v>46112</v>
      </c>
      <c r="F97" s="37">
        <f>IF(B96&lt;'Умови та класичний графік'!$J$14,E97-D97+1,"")</f>
        <v>31</v>
      </c>
      <c r="G97" s="140">
        <f>IF(B96&lt;'Умови та класичний графік'!$J$14,-(SUM(J97:L97)),"")</f>
        <v>181728.12970921036</v>
      </c>
      <c r="H97" s="140"/>
      <c r="I97" s="32">
        <f>IF(B96&lt;'Умови та класичний графік'!$J$14,I96+J97,"")</f>
        <v>9705341.4391871579</v>
      </c>
      <c r="J97" s="32">
        <f>IF(B96&lt;'Умови та класичний графік'!$J$14,PPMT($J$20/12,B97,$J$12,$J$11,0,0),"")</f>
        <v>-7702.7545710425584</v>
      </c>
      <c r="K97" s="32">
        <f>IF(B96&lt;'Умови та класичний графік'!$J$14,IPMT($J$20/12,B97,$J$12,$J$11,0,0),"")</f>
        <v>-174025.37513816782</v>
      </c>
      <c r="L97" s="30">
        <f>IF(B96&lt;'Умови та класичний графік'!$J$14,-(SUM(M97:V97)),"")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графік'!$J$14,XIRR($G$34:G97,$C$34:C97,0),"")</f>
        <v>7.5931157226562504E-2</v>
      </c>
      <c r="X97" s="42"/>
      <c r="Y97" s="35"/>
    </row>
    <row r="98" spans="2:25" x14ac:dyDescent="0.2">
      <c r="B98" s="25">
        <v>64</v>
      </c>
      <c r="C98" s="36">
        <f>IF(B97&lt;'Умови та класичний графік'!$J$14,EDATE(C97,1),"")</f>
        <v>46143</v>
      </c>
      <c r="D98" s="36">
        <f>IF(B97&lt;'Умови та класичний графік'!$J$14,C97,"")</f>
        <v>46113</v>
      </c>
      <c r="E98" s="26">
        <f>IF(B97&lt;'Умови та класичний графік'!$J$14,C98-1,"")</f>
        <v>46142</v>
      </c>
      <c r="F98" s="37">
        <f>IF(B97&lt;'Умови та класичний графік'!$J$14,E98-D98+1,"")</f>
        <v>30</v>
      </c>
      <c r="G98" s="140">
        <f>IF(B97&lt;'Умови та класичний графік'!$J$14,-(SUM(J98:L98)),"")</f>
        <v>181728.12970921039</v>
      </c>
      <c r="H98" s="140"/>
      <c r="I98" s="32">
        <f>IF(B97&lt;'Умови та класичний графік'!$J$14,I97+J98,"")</f>
        <v>9697500.6769300513</v>
      </c>
      <c r="J98" s="32">
        <f>IF(B97&lt;'Умови та класичний графік'!$J$14,PPMT($J$20/12,B98,$J$12,$J$11,0,0),"")</f>
        <v>-7840.7622571070706</v>
      </c>
      <c r="K98" s="32">
        <f>IF(B97&lt;'Умови та класичний графік'!$J$14,IPMT($J$20/12,B98,$J$12,$J$11,0,0),"")</f>
        <v>-173887.36745210332</v>
      </c>
      <c r="L98" s="30">
        <f>IF(B97&lt;'Умови та класичний графік'!$J$14,-(SUM(M98:V98)),"")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графік'!$J$14,XIRR($G$34:G98,$C$34:C98,0),"")</f>
        <v>8.125528808593753E-2</v>
      </c>
      <c r="X98" s="42"/>
      <c r="Y98" s="35"/>
    </row>
    <row r="99" spans="2:25" x14ac:dyDescent="0.2">
      <c r="B99" s="25">
        <v>65</v>
      </c>
      <c r="C99" s="36">
        <f>IF(B98&lt;'Умови та класичний графік'!$J$14,EDATE(C98,1),"")</f>
        <v>46174</v>
      </c>
      <c r="D99" s="36">
        <f>IF(B98&lt;'Умови та класичний графік'!$J$14,C98,"")</f>
        <v>46143</v>
      </c>
      <c r="E99" s="26">
        <f>IF(B98&lt;'Умови та класичний графік'!$J$14,C99-1,"")</f>
        <v>46173</v>
      </c>
      <c r="F99" s="37">
        <f>IF(B98&lt;'Умови та класичний графік'!$J$14,E99-D99+1,"")</f>
        <v>31</v>
      </c>
      <c r="G99" s="140">
        <f>IF(B98&lt;'Умови та класичний графік'!$J$14,-(SUM(J99:L99)),"")</f>
        <v>181728.12970921036</v>
      </c>
      <c r="H99" s="140"/>
      <c r="I99" s="32">
        <f>IF(B98&lt;'Умови та класичний графік'!$J$14,I98+J99,"")</f>
        <v>9689519.4343491718</v>
      </c>
      <c r="J99" s="32">
        <f>IF(B98&lt;'Умови та класичний графік'!$J$14,PPMT($J$20/12,B99,$J$12,$J$11,0,0),"")</f>
        <v>-7981.2425808802373</v>
      </c>
      <c r="K99" s="32">
        <f>IF(B98&lt;'Умови та класичний графік'!$J$14,IPMT($J$20/12,B99,$J$12,$J$11,0,0),"")</f>
        <v>-173746.88712833013</v>
      </c>
      <c r="L99" s="30">
        <f>IF(B98&lt;'Умови та класичний графік'!$J$14,-(SUM(M99:V99)),"")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графік'!$J$14,XIRR($G$34:G99,$C$34:C99,0),"")</f>
        <v>8.6385834960937505E-2</v>
      </c>
      <c r="X99" s="42"/>
      <c r="Y99" s="35"/>
    </row>
    <row r="100" spans="2:25" x14ac:dyDescent="0.2">
      <c r="B100" s="25">
        <v>66</v>
      </c>
      <c r="C100" s="36">
        <f>IF(B99&lt;'Умови та класичний графік'!$J$14,EDATE(C99,1),"")</f>
        <v>46204</v>
      </c>
      <c r="D100" s="36">
        <f>IF(B99&lt;'Умови та класичний графік'!$J$14,C99,"")</f>
        <v>46174</v>
      </c>
      <c r="E100" s="26">
        <f>IF(B99&lt;'Умови та класичний графік'!$J$14,C100-1,"")</f>
        <v>46203</v>
      </c>
      <c r="F100" s="37">
        <f>IF(B99&lt;'Умови та класичний графік'!$J$14,E100-D100+1,"")</f>
        <v>30</v>
      </c>
      <c r="G100" s="140">
        <f>IF(B99&lt;'Умови та класичний графік'!$J$14,-(SUM(J100:L100)),"")</f>
        <v>181728.12970921039</v>
      </c>
      <c r="H100" s="140"/>
      <c r="I100" s="32">
        <f>IF(B99&lt;'Умови та класичний графік'!$J$14,I99+J100,"")</f>
        <v>9681395.1945053842</v>
      </c>
      <c r="J100" s="32">
        <f>IF(B99&lt;'Умови та класичний графік'!$J$14,PPMT($J$20/12,B100,$J$12,$J$11,0,0),"")</f>
        <v>-8124.2398437876782</v>
      </c>
      <c r="K100" s="32">
        <f>IF(B99&lt;'Умови та класичний графік'!$J$14,IPMT($J$20/12,B100,$J$12,$J$11,0,0),"")</f>
        <v>-173603.88986542271</v>
      </c>
      <c r="L100" s="30">
        <f>IF(B99&lt;'Умови та класичний графік'!$J$14,-(SUM(M100:V100)),"")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графік'!$J$14,XIRR($G$34:G100,$C$34:C100,0),"")</f>
        <v>9.1332202148437527E-2</v>
      </c>
      <c r="X100" s="42"/>
      <c r="Y100" s="35"/>
    </row>
    <row r="101" spans="2:25" x14ac:dyDescent="0.2">
      <c r="B101" s="25">
        <v>67</v>
      </c>
      <c r="C101" s="36">
        <f>IF(B100&lt;'Умови та класичний графік'!$J$14,EDATE(C100,1),"")</f>
        <v>46235</v>
      </c>
      <c r="D101" s="36">
        <f>IF(B100&lt;'Умови та класичний графік'!$J$14,C100,"")</f>
        <v>46204</v>
      </c>
      <c r="E101" s="26">
        <f>IF(B100&lt;'Умови та класичний графік'!$J$14,C101-1,"")</f>
        <v>46234</v>
      </c>
      <c r="F101" s="37">
        <f>IF(B100&lt;'Умови та класичний графік'!$J$14,E101-D101+1,"")</f>
        <v>31</v>
      </c>
      <c r="G101" s="140">
        <f>IF(B100&lt;'Умови та класичний графік'!$J$14,-(SUM(J101:L101)),"")</f>
        <v>181728.12970921039</v>
      </c>
      <c r="H101" s="140"/>
      <c r="I101" s="32">
        <f>IF(B100&lt;'Умови та класичний графік'!$J$14,I100+J101,"")</f>
        <v>9673125.3953643944</v>
      </c>
      <c r="J101" s="32">
        <f>IF(B100&lt;'Умови та класичний графік'!$J$14,PPMT($J$20/12,B101,$J$12,$J$11,0,0),"")</f>
        <v>-8269.7991409888728</v>
      </c>
      <c r="K101" s="32">
        <f>IF(B100&lt;'Умови та класичний графік'!$J$14,IPMT($J$20/12,B101,$J$12,$J$11,0,0),"")</f>
        <v>-173458.33056822151</v>
      </c>
      <c r="L101" s="30">
        <f>IF(B100&lt;'Умови та класичний графік'!$J$14,-(SUM(M101:V101)),"")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графік'!$J$14,XIRR($G$34:G101,$C$34:C101,0),"")</f>
        <v>9.6101137695312533E-2</v>
      </c>
      <c r="X101" s="42"/>
      <c r="Y101" s="35"/>
    </row>
    <row r="102" spans="2:25" x14ac:dyDescent="0.2">
      <c r="B102" s="25">
        <v>68</v>
      </c>
      <c r="C102" s="36">
        <f>IF(B101&lt;'Умови та класичний графік'!$J$14,EDATE(C101,1),"")</f>
        <v>46266</v>
      </c>
      <c r="D102" s="36">
        <f>IF(B101&lt;'Умови та класичний графік'!$J$14,C101,"")</f>
        <v>46235</v>
      </c>
      <c r="E102" s="26">
        <f>IF(B101&lt;'Умови та класичний графік'!$J$14,C102-1,"")</f>
        <v>46265</v>
      </c>
      <c r="F102" s="37">
        <f>IF(B101&lt;'Умови та класичний графік'!$J$14,E102-D102+1,"")</f>
        <v>31</v>
      </c>
      <c r="G102" s="140">
        <f>IF(B101&lt;'Умови та класичний графік'!$J$14,-(SUM(J102:L102)),"")</f>
        <v>181728.12970921039</v>
      </c>
      <c r="H102" s="140"/>
      <c r="I102" s="32">
        <f>IF(B101&lt;'Умови та класичний графік'!$J$14,I101+J102,"")</f>
        <v>9664707.4289887957</v>
      </c>
      <c r="J102" s="32">
        <f>IF(B101&lt;'Умови та класичний графік'!$J$14,PPMT($J$20/12,B102,$J$12,$J$11,0,0),"")</f>
        <v>-8417.9663755982565</v>
      </c>
      <c r="K102" s="32">
        <f>IF(B101&lt;'Умови та класичний графік'!$J$14,IPMT($J$20/12,B102,$J$12,$J$11,0,0),"")</f>
        <v>-173310.16333361214</v>
      </c>
      <c r="L102" s="30">
        <f>IF(B101&lt;'Умови та класичний графік'!$J$14,-(SUM(M102:V102)),"")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графік'!$J$14,XIRR($G$34:G102,$C$34:C102,0),"")</f>
        <v>0.10070010253906252</v>
      </c>
      <c r="X102" s="42"/>
      <c r="Y102" s="35"/>
    </row>
    <row r="103" spans="2:25" x14ac:dyDescent="0.2">
      <c r="B103" s="25">
        <v>69</v>
      </c>
      <c r="C103" s="36">
        <f>IF(B102&lt;'Умови та класичний графік'!$J$14,EDATE(C102,1),"")</f>
        <v>46296</v>
      </c>
      <c r="D103" s="36">
        <f>IF(B102&lt;'Умови та класичний графік'!$J$14,C102,"")</f>
        <v>46266</v>
      </c>
      <c r="E103" s="26">
        <f>IF(B102&lt;'Умови та класичний графік'!$J$14,C103-1,"")</f>
        <v>46295</v>
      </c>
      <c r="F103" s="37">
        <f>IF(B102&lt;'Умови та класичний графік'!$J$14,E103-D103+1,"")</f>
        <v>30</v>
      </c>
      <c r="G103" s="140">
        <f>IF(B102&lt;'Умови та класичний графік'!$J$14,-(SUM(J103:L103)),"")</f>
        <v>181728.12970921036</v>
      </c>
      <c r="H103" s="140"/>
      <c r="I103" s="32">
        <f>IF(B102&lt;'Умови та класичний графік'!$J$14,I102+J103,"")</f>
        <v>9656138.6407156345</v>
      </c>
      <c r="J103" s="32">
        <f>IF(B102&lt;'Умови та класичний графік'!$J$14,PPMT($J$20/12,B103,$J$12,$J$11,0,0),"")</f>
        <v>-8568.7882731610589</v>
      </c>
      <c r="K103" s="32">
        <f>IF(B102&lt;'Умови та класичний графік'!$J$14,IPMT($J$20/12,B103,$J$12,$J$11,0,0),"")</f>
        <v>-173159.34143604929</v>
      </c>
      <c r="L103" s="30">
        <f>IF(B102&lt;'Умови та класичний графік'!$J$14,-(SUM(M103:V103)),"")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графік'!$J$14,XIRR($G$34:G103,$C$34:C103,0),"")</f>
        <v>0.1051374365234375</v>
      </c>
      <c r="X103" s="42"/>
      <c r="Y103" s="35"/>
    </row>
    <row r="104" spans="2:25" x14ac:dyDescent="0.2">
      <c r="B104" s="25">
        <v>70</v>
      </c>
      <c r="C104" s="36">
        <f>IF(B103&lt;'Умови та класичний графік'!$J$14,EDATE(C103,1),"")</f>
        <v>46327</v>
      </c>
      <c r="D104" s="36">
        <f>IF(B103&lt;'Умови та класичний графік'!$J$14,C103,"")</f>
        <v>46296</v>
      </c>
      <c r="E104" s="26">
        <f>IF(B103&lt;'Умови та класичний графік'!$J$14,C104-1,"")</f>
        <v>46326</v>
      </c>
      <c r="F104" s="37">
        <f>IF(B103&lt;'Умови та класичний графік'!$J$14,E104-D104+1,"")</f>
        <v>31</v>
      </c>
      <c r="G104" s="140">
        <f>IF(B103&lt;'Умови та класичний графік'!$J$14,-(SUM(J104:L104)),"")</f>
        <v>181728.12970921039</v>
      </c>
      <c r="H104" s="140"/>
      <c r="I104" s="32">
        <f>IF(B103&lt;'Умови та класичний графік'!$J$14,I103+J104,"")</f>
        <v>9647416.3283192459</v>
      </c>
      <c r="J104" s="32">
        <f>IF(B103&lt;'Умови та класичний графік'!$J$14,PPMT($J$20/12,B104,$J$12,$J$11,0,0),"")</f>
        <v>-8722.3123963885282</v>
      </c>
      <c r="K104" s="32">
        <f>IF(B103&lt;'Умови та класичний графік'!$J$14,IPMT($J$20/12,B104,$J$12,$J$11,0,0),"")</f>
        <v>-173005.81731282186</v>
      </c>
      <c r="L104" s="30">
        <f>IF(B103&lt;'Умови та класичний графік'!$J$14,-(SUM(M104:V104)),"")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графік'!$J$14,XIRR($G$34:G104,$C$34:C104,0),"")</f>
        <v>0.10941876464843751</v>
      </c>
      <c r="X104" s="42"/>
      <c r="Y104" s="35"/>
    </row>
    <row r="105" spans="2:25" x14ac:dyDescent="0.2">
      <c r="B105" s="25">
        <v>71</v>
      </c>
      <c r="C105" s="36">
        <f>IF(B104&lt;'Умови та класичний графік'!$J$14,EDATE(C104,1),"")</f>
        <v>46357</v>
      </c>
      <c r="D105" s="36">
        <f>IF(B104&lt;'Умови та класичний графік'!$J$14,C104,"")</f>
        <v>46327</v>
      </c>
      <c r="E105" s="26">
        <f>IF(B104&lt;'Умови та класичний графік'!$J$14,C105-1,"")</f>
        <v>46356</v>
      </c>
      <c r="F105" s="37">
        <f>IF(B104&lt;'Умови та класичний графік'!$J$14,E105-D105+1,"")</f>
        <v>30</v>
      </c>
      <c r="G105" s="140">
        <f>IF(B104&lt;'Умови та класичний графік'!$J$14,-(SUM(J105:L105)),"")</f>
        <v>181728.12970921039</v>
      </c>
      <c r="H105" s="140"/>
      <c r="I105" s="32">
        <f>IF(B104&lt;'Умови та класичний графік'!$J$14,I104+J105,"")</f>
        <v>9638537.7411590889</v>
      </c>
      <c r="J105" s="32">
        <f>IF(B104&lt;'Умови та класичний графік'!$J$14,PPMT($J$20/12,B105,$J$12,$J$11,0,0),"")</f>
        <v>-8878.5871601571544</v>
      </c>
      <c r="K105" s="32">
        <f>IF(B104&lt;'Умови та класичний графік'!$J$14,IPMT($J$20/12,B105,$J$12,$J$11,0,0),"")</f>
        <v>-172849.54254905324</v>
      </c>
      <c r="L105" s="30">
        <f>IF(B104&lt;'Умови та класичний графік'!$J$14,-(SUM(M105:V105)),"")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графік'!$J$14,XIRR($G$34:G105,$C$34:C105,0),"")</f>
        <v>0.11355177246093752</v>
      </c>
      <c r="X105" s="42"/>
      <c r="Y105" s="35"/>
    </row>
    <row r="106" spans="2:25" x14ac:dyDescent="0.2">
      <c r="B106" s="25">
        <v>72</v>
      </c>
      <c r="C106" s="36">
        <f>IF(B105&lt;'Умови та класичний графік'!$J$14,EDATE(C105,1),"")</f>
        <v>46388</v>
      </c>
      <c r="D106" s="36">
        <f>IF(B105&lt;'Умови та класичний графік'!$J$14,C105,"")</f>
        <v>46357</v>
      </c>
      <c r="E106" s="26">
        <f>IF(B105&lt;'Умови та класичний графік'!$J$14,C106-1,"")</f>
        <v>46387</v>
      </c>
      <c r="F106" s="37">
        <f>IF(B105&lt;'Умови та класичний графік'!$J$14,E106-D106+1,"")</f>
        <v>31</v>
      </c>
      <c r="G106" s="140">
        <f>IF(B105&lt;'Умови та класичний графік'!$J$14,-(SUM(J106:L106)),"")</f>
        <v>251116.6299471473</v>
      </c>
      <c r="H106" s="140"/>
      <c r="I106" s="32">
        <f>IF(B105&lt;'Умови та класичний графік'!$J$14,I105+J106,"")</f>
        <v>9629500.0793123115</v>
      </c>
      <c r="J106" s="32">
        <f>IF(B105&lt;'Умови та класичний графік'!$J$14,PPMT($J$20/12,B106,$J$12,$J$11,0,0),"")</f>
        <v>-9037.6618467766402</v>
      </c>
      <c r="K106" s="32">
        <f>IF(B105&lt;'Умови та класичний графік'!$J$14,IPMT($J$20/12,B106,$J$12,$J$11,0,0),"")</f>
        <v>-172690.46786243372</v>
      </c>
      <c r="L106" s="30">
        <f>IF(B105&lt;'Умови та класичний графік'!$J$14,-(SUM(M106:V106)),"")</f>
        <v>-69388.50023793694</v>
      </c>
      <c r="M106" s="38"/>
      <c r="N106" s="39"/>
      <c r="O106" s="39"/>
      <c r="P106" s="32"/>
      <c r="Q106" s="40"/>
      <c r="R106" s="40"/>
      <c r="S106" s="41"/>
      <c r="T106" s="41"/>
      <c r="U106" s="33">
        <f>IF(B105&lt;'Умови та класичний графік'!$J$14,('Умови та класичний графік'!$J$15*$N$18)+(I106*$N$19),"")</f>
        <v>69388.50023793694</v>
      </c>
      <c r="V106" s="41"/>
      <c r="W106" s="43">
        <f>IF(B105&lt;'Умови та класичний графік'!$J$14,XIRR($G$34:G106,$C$34:C106,0),"")</f>
        <v>0.1190380126953125</v>
      </c>
      <c r="X106" s="42"/>
      <c r="Y106" s="35"/>
    </row>
    <row r="107" spans="2:25" x14ac:dyDescent="0.2">
      <c r="B107" s="25">
        <v>73</v>
      </c>
      <c r="C107" s="36">
        <f>IF(B106&lt;'Умови та класичний графік'!$J$14,EDATE(C106,1),"")</f>
        <v>46419</v>
      </c>
      <c r="D107" s="36">
        <f>IF(B106&lt;'Умови та класичний графік'!$J$14,C106,"")</f>
        <v>46388</v>
      </c>
      <c r="E107" s="26">
        <f>IF(B106&lt;'Умови та класичний графік'!$J$14,C107-1,"")</f>
        <v>46418</v>
      </c>
      <c r="F107" s="37">
        <f>IF(B106&lt;'Умови та класичний графік'!$J$14,E107-D107+1,"")</f>
        <v>31</v>
      </c>
      <c r="G107" s="140">
        <f>IF(B106&lt;'Умови та класичний графік'!$J$14,-(SUM(J107:L107)),"")</f>
        <v>181728.12970921036</v>
      </c>
      <c r="H107" s="140"/>
      <c r="I107" s="32">
        <f>IF(B106&lt;'Умови та класичний графік'!$J$14,I106+J107,"")</f>
        <v>9620300.4926907793</v>
      </c>
      <c r="J107" s="32">
        <f>IF(B106&lt;'Умови та класичний графік'!$J$14,PPMT($J$20/12,B107,$J$12,$J$11,0,0),"")</f>
        <v>-9199.5866215313872</v>
      </c>
      <c r="K107" s="32">
        <f>IF(B106&lt;'Умови та класичний графік'!$J$14,IPMT($J$20/12,B107,$J$12,$J$11,0,0),"")</f>
        <v>-172528.54308767899</v>
      </c>
      <c r="L107" s="30">
        <f>IF(B106&lt;'Умови та класичний графік'!$J$14,-(SUM(M107:V107)),"")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графік'!$J$14,XIRR($G$34:G107,$C$34:C107,0),"")</f>
        <v>0.12285338378906251</v>
      </c>
      <c r="X107" s="42"/>
      <c r="Y107" s="35"/>
    </row>
    <row r="108" spans="2:25" x14ac:dyDescent="0.2">
      <c r="B108" s="25">
        <v>74</v>
      </c>
      <c r="C108" s="36">
        <f>IF(B107&lt;'Умови та класичний графік'!$J$14,EDATE(C107,1),"")</f>
        <v>46447</v>
      </c>
      <c r="D108" s="36">
        <f>IF(B107&lt;'Умови та класичний графік'!$J$14,C107,"")</f>
        <v>46419</v>
      </c>
      <c r="E108" s="26">
        <f>IF(B107&lt;'Умови та класичний графік'!$J$14,C108-1,"")</f>
        <v>46446</v>
      </c>
      <c r="F108" s="37">
        <f>IF(B107&lt;'Умови та класичний графік'!$J$14,E108-D108+1,"")</f>
        <v>28</v>
      </c>
      <c r="G108" s="140">
        <f>IF(B107&lt;'Умови та класичний графік'!$J$14,-(SUM(J108:L108)),"")</f>
        <v>181728.12970921039</v>
      </c>
      <c r="H108" s="140"/>
      <c r="I108" s="32">
        <f>IF(B107&lt;'Умови та класичний графік'!$J$14,I107+J108,"")</f>
        <v>9610936.0801422782</v>
      </c>
      <c r="J108" s="32">
        <f>IF(B107&lt;'Умови та класичний графік'!$J$14,PPMT($J$20/12,B108,$J$12,$J$11,0,0),"")</f>
        <v>-9364.4125485004879</v>
      </c>
      <c r="K108" s="32">
        <f>IF(B107&lt;'Умови та класичний графік'!$J$14,IPMT($J$20/12,B108,$J$12,$J$11,0,0),"")</f>
        <v>-172363.7171607099</v>
      </c>
      <c r="L108" s="30">
        <f>IF(B107&lt;'Умови та класичний графік'!$J$14,-(SUM(M108:V108)),"")</f>
        <v>0</v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>
        <f>IF(B107&lt;'Умови та класичний графік'!$J$14,XIRR($G$34:G108,$C$34:C108,0),"")</f>
        <v>0.12654249511718751</v>
      </c>
      <c r="X108" s="42"/>
      <c r="Y108" s="35"/>
    </row>
    <row r="109" spans="2:25" x14ac:dyDescent="0.2">
      <c r="B109" s="25">
        <v>75</v>
      </c>
      <c r="C109" s="36">
        <f>IF(B108&lt;'Умови та класичний графік'!$J$14,EDATE(C108,1),"")</f>
        <v>46478</v>
      </c>
      <c r="D109" s="36">
        <f>IF(B108&lt;'Умови та класичний графік'!$J$14,C108,"")</f>
        <v>46447</v>
      </c>
      <c r="E109" s="26">
        <f>IF(B108&lt;'Умови та класичний графік'!$J$14,C109-1,"")</f>
        <v>46477</v>
      </c>
      <c r="F109" s="37">
        <f>IF(B108&lt;'Умови та класичний графік'!$J$14,E109-D109+1,"")</f>
        <v>31</v>
      </c>
      <c r="G109" s="140">
        <f>IF(B108&lt;'Умови та класичний графік'!$J$14,-(SUM(J109:L109)),"")</f>
        <v>181728.12970921039</v>
      </c>
      <c r="H109" s="140"/>
      <c r="I109" s="32">
        <f>IF(B108&lt;'Умови та класичний графік'!$J$14,I108+J109,"")</f>
        <v>9601403.8885356169</v>
      </c>
      <c r="J109" s="32">
        <f>IF(B108&lt;'Умови та класичний графік'!$J$14,PPMT($J$20/12,B109,$J$12,$J$11,0,0),"")</f>
        <v>-9532.1916066611211</v>
      </c>
      <c r="K109" s="32">
        <f>IF(B108&lt;'Умови та класичний графік'!$J$14,IPMT($J$20/12,B109,$J$12,$J$11,0,0),"")</f>
        <v>-172195.93810254926</v>
      </c>
      <c r="L109" s="30">
        <f>IF(B108&lt;'Умови та класичний графік'!$J$14,-(SUM(M109:V109)),"")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графік'!$J$14,XIRR($G$34:G109,$C$34:C109,0),"")</f>
        <v>0.13010695800781252</v>
      </c>
      <c r="X109" s="42"/>
      <c r="Y109" s="35"/>
    </row>
    <row r="110" spans="2:25" x14ac:dyDescent="0.2">
      <c r="B110" s="25">
        <v>76</v>
      </c>
      <c r="C110" s="36">
        <f>IF(B109&lt;'Умови та класичний графік'!$J$14,EDATE(C109,1),"")</f>
        <v>46508</v>
      </c>
      <c r="D110" s="36">
        <f>IF(B109&lt;'Умови та класичний графік'!$J$14,C109,"")</f>
        <v>46478</v>
      </c>
      <c r="E110" s="26">
        <f>IF(B109&lt;'Умови та класичний графік'!$J$14,C110-1,"")</f>
        <v>46507</v>
      </c>
      <c r="F110" s="37">
        <f>IF(B109&lt;'Умови та класичний графік'!$J$14,E110-D110+1,"")</f>
        <v>30</v>
      </c>
      <c r="G110" s="140">
        <f>IF(B109&lt;'Умови та класичний графік'!$J$14,-(SUM(J110:L110)),"")</f>
        <v>181728.12970921036</v>
      </c>
      <c r="H110" s="140"/>
      <c r="I110" s="32">
        <f>IF(B109&lt;'Умови та класичний графік'!$J$14,I109+J110,"")</f>
        <v>9591700.9118293356</v>
      </c>
      <c r="J110" s="32">
        <f>IF(B109&lt;'Умови та класичний графік'!$J$14,PPMT($J$20/12,B110,$J$12,$J$11,0,0),"")</f>
        <v>-9702.9767062804694</v>
      </c>
      <c r="K110" s="32">
        <f>IF(B109&lt;'Умови та класичний графік'!$J$14,IPMT($J$20/12,B110,$J$12,$J$11,0,0),"")</f>
        <v>-172025.1530029299</v>
      </c>
      <c r="L110" s="30">
        <f>IF(B109&lt;'Умови та класичний графік'!$J$14,-(SUM(M110:V110)),"")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графік'!$J$14,XIRR($G$34:G110,$C$34:C110,0),"")</f>
        <v>0.13355289550781252</v>
      </c>
      <c r="X110" s="42"/>
      <c r="Y110" s="35"/>
    </row>
    <row r="111" spans="2:25" x14ac:dyDescent="0.2">
      <c r="B111" s="25">
        <v>77</v>
      </c>
      <c r="C111" s="36">
        <f>IF(B110&lt;'Умови та класичний графік'!$J$14,EDATE(C110,1),"")</f>
        <v>46539</v>
      </c>
      <c r="D111" s="36">
        <f>IF(B110&lt;'Умови та класичний графік'!$J$14,C110,"")</f>
        <v>46508</v>
      </c>
      <c r="E111" s="26">
        <f>IF(B110&lt;'Умови та класичний графік'!$J$14,C111-1,"")</f>
        <v>46538</v>
      </c>
      <c r="F111" s="37">
        <f>IF(B110&lt;'Умови та класичний графік'!$J$14,E111-D111+1,"")</f>
        <v>31</v>
      </c>
      <c r="G111" s="140">
        <f>IF(B110&lt;'Умови та класичний графік'!$J$14,-(SUM(J111:L111)),"")</f>
        <v>181728.12970921036</v>
      </c>
      <c r="H111" s="140"/>
      <c r="I111" s="32">
        <f>IF(B110&lt;'Умови та класичний графік'!$J$14,I110+J111,"")</f>
        <v>9581824.0901237335</v>
      </c>
      <c r="J111" s="32">
        <f>IF(B110&lt;'Умови та класичний графік'!$J$14,PPMT($J$20/12,B111,$J$12,$J$11,0,0),"")</f>
        <v>-9876.8217056013254</v>
      </c>
      <c r="K111" s="32">
        <f>IF(B110&lt;'Умови та класичний графік'!$J$14,IPMT($J$20/12,B111,$J$12,$J$11,0,0),"")</f>
        <v>-171851.30800360904</v>
      </c>
      <c r="L111" s="30">
        <f>IF(B110&lt;'Умови та класичний графік'!$J$14,-(SUM(M111:V111)),"")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графік'!$J$14,XIRR($G$34:G111,$C$34:C111,0),"")</f>
        <v>0.13688386230468752</v>
      </c>
      <c r="X111" s="42"/>
      <c r="Y111" s="35"/>
    </row>
    <row r="112" spans="2:25" x14ac:dyDescent="0.2">
      <c r="B112" s="25">
        <v>78</v>
      </c>
      <c r="C112" s="36">
        <f>IF(B111&lt;'Умови та класичний графік'!$J$14,EDATE(C111,1),"")</f>
        <v>46569</v>
      </c>
      <c r="D112" s="36">
        <f>IF(B111&lt;'Умови та класичний графік'!$J$14,C111,"")</f>
        <v>46539</v>
      </c>
      <c r="E112" s="26">
        <f>IF(B111&lt;'Умови та класичний графік'!$J$14,C112-1,"")</f>
        <v>46568</v>
      </c>
      <c r="F112" s="37">
        <f>IF(B111&lt;'Умови та класичний графік'!$J$14,E112-D112+1,"")</f>
        <v>30</v>
      </c>
      <c r="G112" s="140">
        <f>IF(B111&lt;'Умови та класичний графік'!$J$14,-(SUM(J112:L112)),"")</f>
        <v>181728.12970921036</v>
      </c>
      <c r="H112" s="140"/>
      <c r="I112" s="32">
        <f>IF(B111&lt;'Умови та класичний графік'!$J$14,I111+J112,"")</f>
        <v>9571770.3086959068</v>
      </c>
      <c r="J112" s="32">
        <f>IF(B111&lt;'Умови та класичний графік'!$J$14,PPMT($J$20/12,B112,$J$12,$J$11,0,0),"")</f>
        <v>-10053.781427826683</v>
      </c>
      <c r="K112" s="32">
        <f>IF(B111&lt;'Умови та класичний графік'!$J$14,IPMT($J$20/12,B112,$J$12,$J$11,0,0),"")</f>
        <v>-171674.34828138369</v>
      </c>
      <c r="L112" s="30">
        <f>IF(B111&lt;'Умови та класичний графік'!$J$14,-(SUM(M112:V112)),"")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графік'!$J$14,XIRR($G$34:G112,$C$34:C112,0),"")</f>
        <v>0.14010552246093755</v>
      </c>
      <c r="X112" s="42"/>
      <c r="Y112" s="35"/>
    </row>
    <row r="113" spans="2:25" x14ac:dyDescent="0.2">
      <c r="B113" s="25">
        <v>79</v>
      </c>
      <c r="C113" s="36">
        <f>IF(B112&lt;'Умови та класичний графік'!$J$14,EDATE(C112,1),"")</f>
        <v>46600</v>
      </c>
      <c r="D113" s="36">
        <f>IF(B112&lt;'Умови та класичний графік'!$J$14,C112,"")</f>
        <v>46569</v>
      </c>
      <c r="E113" s="26">
        <f>IF(B112&lt;'Умови та класичний графік'!$J$14,C113-1,"")</f>
        <v>46599</v>
      </c>
      <c r="F113" s="37">
        <f>IF(B112&lt;'Умови та класичний графік'!$J$14,E113-D113+1,"")</f>
        <v>31</v>
      </c>
      <c r="G113" s="140">
        <f>IF(B112&lt;'Умови та класичний графік'!$J$14,-(SUM(J113:L113)),"")</f>
        <v>181728.12970921039</v>
      </c>
      <c r="H113" s="140"/>
      <c r="I113" s="32">
        <f>IF(B112&lt;'Умови та класичний графік'!$J$14,I112+J113,"")</f>
        <v>9561536.3970174976</v>
      </c>
      <c r="J113" s="32">
        <f>IF(B112&lt;'Умови та класичний графік'!$J$14,PPMT($J$20/12,B113,$J$12,$J$11,0,0),"")</f>
        <v>-10233.91167840858</v>
      </c>
      <c r="K113" s="32">
        <f>IF(B112&lt;'Умови та класичний графік'!$J$14,IPMT($J$20/12,B113,$J$12,$J$11,0,0),"")</f>
        <v>-171494.2180308018</v>
      </c>
      <c r="L113" s="30">
        <f>IF(B112&lt;'Умови та класичний графік'!$J$14,-(SUM(M113:V113)),"")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графік'!$J$14,XIRR($G$34:G113,$C$34:C113,0),"")</f>
        <v>0.1432210400390625</v>
      </c>
      <c r="X113" s="42"/>
      <c r="Y113" s="35"/>
    </row>
    <row r="114" spans="2:25" x14ac:dyDescent="0.2">
      <c r="B114" s="25">
        <v>80</v>
      </c>
      <c r="C114" s="36">
        <f>IF(B113&lt;'Умови та класичний графік'!$J$14,EDATE(C113,1),"")</f>
        <v>46631</v>
      </c>
      <c r="D114" s="36">
        <f>IF(B113&lt;'Умови та класичний графік'!$J$14,C113,"")</f>
        <v>46600</v>
      </c>
      <c r="E114" s="26">
        <f>IF(B113&lt;'Умови та класичний графік'!$J$14,C114-1,"")</f>
        <v>46630</v>
      </c>
      <c r="F114" s="37">
        <f>IF(B113&lt;'Умови та класичний графік'!$J$14,E114-D114+1,"")</f>
        <v>31</v>
      </c>
      <c r="G114" s="140">
        <f>IF(B113&lt;'Умови та класичний графік'!$J$14,-(SUM(J114:L114)),"")</f>
        <v>181728.12970921036</v>
      </c>
      <c r="H114" s="140"/>
      <c r="I114" s="32">
        <f>IF(B113&lt;'Умови та класичний графік'!$J$14,I113+J114,"")</f>
        <v>9551119.1277548503</v>
      </c>
      <c r="J114" s="32">
        <f>IF(B113&lt;'Умови та класичний графік'!$J$14,PPMT($J$20/12,B114,$J$12,$J$11,0,0),"")</f>
        <v>-10417.269262646732</v>
      </c>
      <c r="K114" s="32">
        <f>IF(B113&lt;'Умови та класичний графік'!$J$14,IPMT($J$20/12,B114,$J$12,$J$11,0,0),"")</f>
        <v>-171310.86044656363</v>
      </c>
      <c r="L114" s="30">
        <f>IF(B113&lt;'Умови та класичний графік'!$J$14,-(SUM(M114:V114)),"")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графік'!$J$14,XIRR($G$34:G114,$C$34:C114,0),"")</f>
        <v>0.14623454589843748</v>
      </c>
      <c r="X114" s="42"/>
      <c r="Y114" s="35"/>
    </row>
    <row r="115" spans="2:25" x14ac:dyDescent="0.2">
      <c r="B115" s="25">
        <v>81</v>
      </c>
      <c r="C115" s="36">
        <f>IF(B114&lt;'Умови та класичний графік'!$J$14,EDATE(C114,1),"")</f>
        <v>46661</v>
      </c>
      <c r="D115" s="36">
        <f>IF(B114&lt;'Умови та класичний графік'!$J$14,C114,"")</f>
        <v>46631</v>
      </c>
      <c r="E115" s="26">
        <f>IF(B114&lt;'Умови та класичний графік'!$J$14,C115-1,"")</f>
        <v>46660</v>
      </c>
      <c r="F115" s="37">
        <f>IF(B114&lt;'Умови та класичний графік'!$J$14,E115-D115+1,"")</f>
        <v>30</v>
      </c>
      <c r="G115" s="140">
        <f>IF(B114&lt;'Умови та класичний графік'!$J$14,-(SUM(J115:L115)),"")</f>
        <v>181728.12970921036</v>
      </c>
      <c r="H115" s="140"/>
      <c r="I115" s="32">
        <f>IF(B114&lt;'Умови та класичний графік'!$J$14,I114+J115,"")</f>
        <v>9540515.2157512475</v>
      </c>
      <c r="J115" s="32">
        <f>IF(B114&lt;'Умови та класичний графік'!$J$14,PPMT($J$20/12,B115,$J$12,$J$11,0,0),"")</f>
        <v>-10603.912003602485</v>
      </c>
      <c r="K115" s="32">
        <f>IF(B114&lt;'Умови та класичний графік'!$J$14,IPMT($J$20/12,B115,$J$12,$J$11,0,0),"")</f>
        <v>-171124.21770560788</v>
      </c>
      <c r="L115" s="30">
        <f>IF(B114&lt;'Умови та класичний графік'!$J$14,-(SUM(M115:V115)),"")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графік'!$J$14,XIRR($G$34:G115,$C$34:C115,0),"")</f>
        <v>0.1491510791015625</v>
      </c>
      <c r="X115" s="42"/>
      <c r="Y115" s="35"/>
    </row>
    <row r="116" spans="2:25" x14ac:dyDescent="0.2">
      <c r="B116" s="25">
        <v>82</v>
      </c>
      <c r="C116" s="36">
        <f>IF(B115&lt;'Умови та класичний графік'!$J$14,EDATE(C115,1),"")</f>
        <v>46692</v>
      </c>
      <c r="D116" s="36">
        <f>IF(B115&lt;'Умови та класичний графік'!$J$14,C115,"")</f>
        <v>46661</v>
      </c>
      <c r="E116" s="26">
        <f>IF(B115&lt;'Умови та класичний графік'!$J$14,C116-1,"")</f>
        <v>46691</v>
      </c>
      <c r="F116" s="37">
        <f>IF(B115&lt;'Умови та класичний графік'!$J$14,E116-D116+1,"")</f>
        <v>31</v>
      </c>
      <c r="G116" s="140">
        <f>IF(B115&lt;'Умови та класичний графік'!$J$14,-(SUM(J116:L116)),"")</f>
        <v>181728.12970921036</v>
      </c>
      <c r="H116" s="140"/>
      <c r="I116" s="32">
        <f>IF(B115&lt;'Умови та класичний графік'!$J$14,I115+J116,"")</f>
        <v>9529721.3169909138</v>
      </c>
      <c r="J116" s="32">
        <f>IF(B115&lt;'Умови та класичний графік'!$J$14,PPMT($J$20/12,B116,$J$12,$J$11,0,0),"")</f>
        <v>-10793.898760333701</v>
      </c>
      <c r="K116" s="32">
        <f>IF(B115&lt;'Умови та класичний графік'!$J$14,IPMT($J$20/12,B116,$J$12,$J$11,0,0),"")</f>
        <v>-170934.23094887665</v>
      </c>
      <c r="L116" s="30">
        <f>IF(B115&lt;'Умови та класичний графік'!$J$14,-(SUM(M116:V116)),"")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графік'!$J$14,XIRR($G$34:G116,$C$34:C116,0),"")</f>
        <v>0.15197329589843755</v>
      </c>
      <c r="X116" s="42"/>
      <c r="Y116" s="35"/>
    </row>
    <row r="117" spans="2:25" x14ac:dyDescent="0.2">
      <c r="B117" s="25">
        <v>83</v>
      </c>
      <c r="C117" s="36">
        <f>IF(B116&lt;'Умови та класичний графік'!$J$14,EDATE(C116,1),"")</f>
        <v>46722</v>
      </c>
      <c r="D117" s="36">
        <f>IF(B116&lt;'Умови та класичний графік'!$J$14,C116,"")</f>
        <v>46692</v>
      </c>
      <c r="E117" s="26">
        <f>IF(B116&lt;'Умови та класичний графік'!$J$14,C117-1,"")</f>
        <v>46721</v>
      </c>
      <c r="F117" s="37">
        <f>IF(B116&lt;'Умови та класичний графік'!$J$14,E117-D117+1,"")</f>
        <v>30</v>
      </c>
      <c r="G117" s="140">
        <f>IF(B116&lt;'Умови та класичний графік'!$J$14,-(SUM(J117:L117)),"")</f>
        <v>181728.12970921036</v>
      </c>
      <c r="H117" s="140"/>
      <c r="I117" s="32">
        <f>IF(B116&lt;'Умови та класичний графік'!$J$14,I116+J117,"")</f>
        <v>9518734.0275444575</v>
      </c>
      <c r="J117" s="32">
        <f>IF(B116&lt;'Умови та класичний графік'!$J$14,PPMT($J$20/12,B117,$J$12,$J$11,0,0),"")</f>
        <v>-10987.289446456343</v>
      </c>
      <c r="K117" s="32">
        <f>IF(B116&lt;'Умови та класичний графік'!$J$14,IPMT($J$20/12,B117,$J$12,$J$11,0,0),"")</f>
        <v>-170740.84026275401</v>
      </c>
      <c r="L117" s="30">
        <f>IF(B116&lt;'Умови та класичний графік'!$J$14,-(SUM(M117:V117)),"")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графік'!$J$14,XIRR($G$34:G117,$C$34:C117,0),"")</f>
        <v>0.15470585449218754</v>
      </c>
      <c r="X117" s="42"/>
      <c r="Y117" s="35"/>
    </row>
    <row r="118" spans="2:25" x14ac:dyDescent="0.2">
      <c r="B118" s="25">
        <v>84</v>
      </c>
      <c r="C118" s="36">
        <f>IF(B117&lt;'Умови та класичний графік'!$J$14,EDATE(C117,1),"")</f>
        <v>46753</v>
      </c>
      <c r="D118" s="36">
        <f>IF(B117&lt;'Умови та класичний графік'!$J$14,C117,"")</f>
        <v>46722</v>
      </c>
      <c r="E118" s="26">
        <f>IF(B117&lt;'Умови та класичний графік'!$J$14,C118-1,"")</f>
        <v>46752</v>
      </c>
      <c r="F118" s="37">
        <f>IF(B117&lt;'Умови та класичний графік'!$J$14,E118-D118+1,"")</f>
        <v>31</v>
      </c>
      <c r="G118" s="140">
        <f>IF(B117&lt;'Умови та класичний графік'!$J$14,-(SUM(J118:L118)),"")</f>
        <v>250750.77935669664</v>
      </c>
      <c r="H118" s="140"/>
      <c r="I118" s="32">
        <f>IF(B117&lt;'Умови та класичний графік'!$J$14,I117+J118,"")</f>
        <v>9507549.8824954182</v>
      </c>
      <c r="J118" s="32">
        <f>IF(B117&lt;'Умови та класичний графік'!$J$14,PPMT($J$20/12,B118,$J$12,$J$11,0,0),"")</f>
        <v>-11184.145049038687</v>
      </c>
      <c r="K118" s="32">
        <f>IF(B117&lt;'Умови та класичний графік'!$J$14,IPMT($J$20/12,B118,$J$12,$J$11,0,0),"")</f>
        <v>-170543.9846601717</v>
      </c>
      <c r="L118" s="30">
        <f>IF(B117&lt;'Умови та класичний графік'!$J$14,-(SUM(M118:V118)),"")</f>
        <v>-69022.649647486251</v>
      </c>
      <c r="M118" s="38"/>
      <c r="N118" s="39"/>
      <c r="O118" s="39"/>
      <c r="P118" s="32"/>
      <c r="Q118" s="40"/>
      <c r="R118" s="40"/>
      <c r="S118" s="41"/>
      <c r="T118" s="41"/>
      <c r="U118" s="33">
        <f>IF(B117&lt;'Умови та класичний графік'!$J$14,('Умови та класичний графік'!$J$15*$N$18)+(I118*$N$19),"")</f>
        <v>69022.649647486251</v>
      </c>
      <c r="V118" s="41"/>
      <c r="W118" s="43">
        <f>IF(B117&lt;'Умови та класичний графік'!$J$14,XIRR($G$34:G118,$C$34:C118,0),"")</f>
        <v>0.15834210449218755</v>
      </c>
      <c r="X118" s="42"/>
      <c r="Y118" s="35"/>
    </row>
    <row r="119" spans="2:25" x14ac:dyDescent="0.2">
      <c r="B119" s="25">
        <v>85</v>
      </c>
      <c r="C119" s="36">
        <f>IF(B118&lt;'Умови та класичний графік'!$J$14,EDATE(C118,1),"")</f>
        <v>46784</v>
      </c>
      <c r="D119" s="36">
        <f>IF(B118&lt;'Умови та класичний графік'!$J$14,C118,"")</f>
        <v>46753</v>
      </c>
      <c r="E119" s="26">
        <f>IF(B118&lt;'Умови та класичний графік'!$J$14,C119-1,"")</f>
        <v>46783</v>
      </c>
      <c r="F119" s="37">
        <f>IF(B118&lt;'Умови та класичний графік'!$J$14,E119-D119+1,"")</f>
        <v>31</v>
      </c>
      <c r="G119" s="140">
        <f>IF(B118&lt;'Умови та класичний графік'!$J$14,-(SUM(J119:L119)),"")</f>
        <v>181728.12970921036</v>
      </c>
      <c r="H119" s="140"/>
      <c r="I119" s="32">
        <f>IF(B118&lt;'Умови та класичний графік'!$J$14,I118+J119,"")</f>
        <v>9496165.3548475839</v>
      </c>
      <c r="J119" s="32">
        <f>IF(B118&lt;'Умови та класичний графік'!$J$14,PPMT($J$20/12,B119,$J$12,$J$11,0,0),"")</f>
        <v>-11384.527647833962</v>
      </c>
      <c r="K119" s="32">
        <f>IF(B118&lt;'Умови та класичний графік'!$J$14,IPMT($J$20/12,B119,$J$12,$J$11,0,0),"")</f>
        <v>-170343.60206137641</v>
      </c>
      <c r="L119" s="30">
        <f>IF(B118&lt;'Умови та класичний графік'!$J$14,-(SUM(M119:V119)),"")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графік'!$J$14,XIRR($G$34:G119,$C$34:C119,0),"")</f>
        <v>0.16088435058593759</v>
      </c>
      <c r="X119" s="42"/>
      <c r="Y119" s="35"/>
    </row>
    <row r="120" spans="2:25" x14ac:dyDescent="0.2">
      <c r="B120" s="25">
        <v>86</v>
      </c>
      <c r="C120" s="36">
        <f>IF(B119&lt;'Умови та класичний графік'!$J$14,EDATE(C119,1),"")</f>
        <v>46813</v>
      </c>
      <c r="D120" s="36">
        <f>IF(B119&lt;'Умови та класичний графік'!$J$14,C119,"")</f>
        <v>46784</v>
      </c>
      <c r="E120" s="26">
        <f>IF(B119&lt;'Умови та класичний графік'!$J$14,C120-1,"")</f>
        <v>46812</v>
      </c>
      <c r="F120" s="37">
        <f>IF(B119&lt;'Умови та класичний графік'!$J$14,E120-D120+1,"")</f>
        <v>29</v>
      </c>
      <c r="G120" s="140">
        <f>IF(B119&lt;'Умови та класичний графік'!$J$14,-(SUM(J120:L120)),"")</f>
        <v>181728.12970921036</v>
      </c>
      <c r="H120" s="140"/>
      <c r="I120" s="32">
        <f>IF(B119&lt;'Умови та класичний графік'!$J$14,I119+J120,"")</f>
        <v>9484576.8544127271</v>
      </c>
      <c r="J120" s="32">
        <f>IF(B119&lt;'Умови та класичний графік'!$J$14,PPMT($J$20/12,B120,$J$12,$J$11,0,0),"")</f>
        <v>-11588.500434857657</v>
      </c>
      <c r="K120" s="32">
        <f>IF(B119&lt;'Умови та класичний графік'!$J$14,IPMT($J$20/12,B120,$J$12,$J$11,0,0),"")</f>
        <v>-170139.62927435272</v>
      </c>
      <c r="L120" s="30">
        <f>IF(B119&lt;'Умови та класичний графік'!$J$14,-(SUM(M120:V120)),"")</f>
        <v>0</v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>
        <f>IF(B119&lt;'Умови та класичний графік'!$J$14,XIRR($G$34:G120,$C$34:C120,0),"")</f>
        <v>0.1633486572265625</v>
      </c>
      <c r="X120" s="42"/>
      <c r="Y120" s="35"/>
    </row>
    <row r="121" spans="2:25" x14ac:dyDescent="0.2">
      <c r="B121" s="25">
        <v>87</v>
      </c>
      <c r="C121" s="36">
        <f>IF(B120&lt;'Умови та класичний графік'!$J$14,EDATE(C120,1),"")</f>
        <v>46844</v>
      </c>
      <c r="D121" s="36">
        <f>IF(B120&lt;'Умови та класичний графік'!$J$14,C120,"")</f>
        <v>46813</v>
      </c>
      <c r="E121" s="26">
        <f>IF(B120&lt;'Умови та класичний графік'!$J$14,C121-1,"")</f>
        <v>46843</v>
      </c>
      <c r="F121" s="37">
        <f>IF(B120&lt;'Умови та класичний графік'!$J$14,E121-D121+1,"")</f>
        <v>31</v>
      </c>
      <c r="G121" s="140">
        <f>IF(B120&lt;'Умови та класичний графік'!$J$14,-(SUM(J121:L121)),"")</f>
        <v>181728.12970921039</v>
      </c>
      <c r="H121" s="140"/>
      <c r="I121" s="32">
        <f>IF(B120&lt;'Умови та класичний графік'!$J$14,I120+J121,"")</f>
        <v>9472780.7266784124</v>
      </c>
      <c r="J121" s="32">
        <f>IF(B120&lt;'Умови та класичний графік'!$J$14,PPMT($J$20/12,B121,$J$12,$J$11,0,0),"")</f>
        <v>-11796.12773431552</v>
      </c>
      <c r="K121" s="32">
        <f>IF(B120&lt;'Умови та класичний графік'!$J$14,IPMT($J$20/12,B121,$J$12,$J$11,0,0),"")</f>
        <v>-169932.00197489487</v>
      </c>
      <c r="L121" s="30">
        <f>IF(B120&lt;'Умови та класичний графік'!$J$14,-(SUM(M121:V121)),"")</f>
        <v>0</v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>
        <f>IF(B120&lt;'Умови та класичний графік'!$J$14,XIRR($G$34:G121,$C$34:C121,0),"")</f>
        <v>0.16573591308593749</v>
      </c>
      <c r="X121" s="42"/>
      <c r="Y121" s="35"/>
    </row>
    <row r="122" spans="2:25" x14ac:dyDescent="0.2">
      <c r="B122" s="25">
        <v>88</v>
      </c>
      <c r="C122" s="36">
        <f>IF(B121&lt;'Умови та класичний графік'!$J$14,EDATE(C121,1),"")</f>
        <v>46874</v>
      </c>
      <c r="D122" s="36">
        <f>IF(B121&lt;'Умови та класичний графік'!$J$14,C121,"")</f>
        <v>46844</v>
      </c>
      <c r="E122" s="26">
        <f>IF(B121&lt;'Умови та класичний графік'!$J$14,C122-1,"")</f>
        <v>46873</v>
      </c>
      <c r="F122" s="37">
        <f>IF(B121&lt;'Умови та класичний графік'!$J$14,E122-D122+1,"")</f>
        <v>30</v>
      </c>
      <c r="G122" s="140">
        <f>IF(B121&lt;'Умови та класичний графік'!$J$14,-(SUM(J122:L122)),"")</f>
        <v>181728.12970921039</v>
      </c>
      <c r="H122" s="140"/>
      <c r="I122" s="32">
        <f>IF(B121&lt;'Умови та класичний графік'!$J$14,I121+J122,"")</f>
        <v>9460773.2516555246</v>
      </c>
      <c r="J122" s="32">
        <f>IF(B121&lt;'Умови та класичний графік'!$J$14,PPMT($J$20/12,B122,$J$12,$J$11,0,0),"")</f>
        <v>-12007.475022888673</v>
      </c>
      <c r="K122" s="32">
        <f>IF(B121&lt;'Умови та класичний графік'!$J$14,IPMT($J$20/12,B122,$J$12,$J$11,0,0),"")</f>
        <v>-169720.65468632171</v>
      </c>
      <c r="L122" s="30">
        <f>IF(B121&lt;'Умови та класичний графік'!$J$14,-(SUM(M122:V122)),"")</f>
        <v>0</v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>
        <f>IF(B121&lt;'Умови та класичний графік'!$J$14,XIRR($G$34:G122,$C$34:C122,0),"")</f>
        <v>0.1680499267578125</v>
      </c>
      <c r="X122" s="42"/>
      <c r="Y122" s="35"/>
    </row>
    <row r="123" spans="2:25" x14ac:dyDescent="0.2">
      <c r="B123" s="25">
        <v>89</v>
      </c>
      <c r="C123" s="36">
        <f>IF(B122&lt;'Умови та класичний графік'!$J$14,EDATE(C122,1),"")</f>
        <v>46905</v>
      </c>
      <c r="D123" s="36">
        <f>IF(B122&lt;'Умови та класичний графік'!$J$14,C122,"")</f>
        <v>46874</v>
      </c>
      <c r="E123" s="26">
        <f>IF(B122&lt;'Умови та класичний графік'!$J$14,C123-1,"")</f>
        <v>46904</v>
      </c>
      <c r="F123" s="37">
        <f>IF(B122&lt;'Умови та класичний графік'!$J$14,E123-D123+1,"")</f>
        <v>31</v>
      </c>
      <c r="G123" s="140">
        <f>IF(B122&lt;'Умови та класичний графік'!$J$14,-(SUM(J123:L123)),"")</f>
        <v>181728.12970921039</v>
      </c>
      <c r="H123" s="140"/>
      <c r="I123" s="32">
        <f>IF(B122&lt;'Умови та класичний графік'!$J$14,I122+J123,"")</f>
        <v>9448550.6427051425</v>
      </c>
      <c r="J123" s="32">
        <f>IF(B122&lt;'Умови та класичний графік'!$J$14,PPMT($J$20/12,B123,$J$12,$J$11,0,0),"")</f>
        <v>-12222.608950382099</v>
      </c>
      <c r="K123" s="32">
        <f>IF(B122&lt;'Умови та класичний графік'!$J$14,IPMT($J$20/12,B123,$J$12,$J$11,0,0),"")</f>
        <v>-169505.52075882829</v>
      </c>
      <c r="L123" s="30">
        <f>IF(B122&lt;'Умови та класичний графік'!$J$14,-(SUM(M123:V123)),"")</f>
        <v>0</v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>
        <f>IF(B122&lt;'Умови та класичний графік'!$J$14,XIRR($G$34:G123,$C$34:C123,0),"")</f>
        <v>0.1702924169921875</v>
      </c>
      <c r="X123" s="42"/>
      <c r="Y123" s="35"/>
    </row>
    <row r="124" spans="2:25" x14ac:dyDescent="0.2">
      <c r="B124" s="25">
        <v>90</v>
      </c>
      <c r="C124" s="36">
        <f>IF(B123&lt;'Умови та класичний графік'!$J$14,EDATE(C123,1),"")</f>
        <v>46935</v>
      </c>
      <c r="D124" s="36">
        <f>IF(B123&lt;'Умови та класичний графік'!$J$14,C123,"")</f>
        <v>46905</v>
      </c>
      <c r="E124" s="26">
        <f>IF(B123&lt;'Умови та класичний графік'!$J$14,C124-1,"")</f>
        <v>46934</v>
      </c>
      <c r="F124" s="37">
        <f>IF(B123&lt;'Умови та класичний графік'!$J$14,E124-D124+1,"")</f>
        <v>30</v>
      </c>
      <c r="G124" s="140">
        <f>IF(B123&lt;'Умови та класичний графік'!$J$14,-(SUM(J124:L124)),"")</f>
        <v>181728.12970921039</v>
      </c>
      <c r="H124" s="140"/>
      <c r="I124" s="32">
        <f>IF(B123&lt;'Умови та класичний графік'!$J$14,I123+J124,"")</f>
        <v>9436109.0453443993</v>
      </c>
      <c r="J124" s="32">
        <f>IF(B123&lt;'Умови та класичний графік'!$J$14,PPMT($J$20/12,B124,$J$12,$J$11,0,0),"")</f>
        <v>-12441.59736074311</v>
      </c>
      <c r="K124" s="32">
        <f>IF(B123&lt;'Умови та класичний графік'!$J$14,IPMT($J$20/12,B124,$J$12,$J$11,0,0),"")</f>
        <v>-169286.53234846727</v>
      </c>
      <c r="L124" s="30">
        <f>IF(B123&lt;'Умови та класичний графік'!$J$14,-(SUM(M124:V124)),"")</f>
        <v>0</v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>
        <f>IF(B123&lt;'Умови та класичний графік'!$J$14,XIRR($G$34:G124,$C$34:C124,0),"")</f>
        <v>0.17246692871093755</v>
      </c>
      <c r="X124" s="42"/>
      <c r="Y124" s="35"/>
    </row>
    <row r="125" spans="2:25" x14ac:dyDescent="0.2">
      <c r="B125" s="25">
        <v>91</v>
      </c>
      <c r="C125" s="36">
        <f>IF(B124&lt;'Умови та класичний графік'!$J$14,EDATE(C124,1),"")</f>
        <v>46966</v>
      </c>
      <c r="D125" s="36">
        <f>IF(B124&lt;'Умови та класичний графік'!$J$14,C124,"")</f>
        <v>46935</v>
      </c>
      <c r="E125" s="26">
        <f>IF(B124&lt;'Умови та класичний графік'!$J$14,C125-1,"")</f>
        <v>46965</v>
      </c>
      <c r="F125" s="37">
        <f>IF(B124&lt;'Умови та класичний графік'!$J$14,E125-D125+1,"")</f>
        <v>31</v>
      </c>
      <c r="G125" s="140">
        <f>IF(B124&lt;'Умови та класичний графік'!$J$14,-(SUM(J125:L125)),"")</f>
        <v>181728.12970921039</v>
      </c>
      <c r="H125" s="140"/>
      <c r="I125" s="32">
        <f>IF(B124&lt;'Умови та класичний графік'!$J$14,I124+J125,"")</f>
        <v>9423444.5360309426</v>
      </c>
      <c r="J125" s="32">
        <f>IF(B124&lt;'Умови та класичний графік'!$J$14,PPMT($J$20/12,B125,$J$12,$J$11,0,0),"")</f>
        <v>-12664.509313456421</v>
      </c>
      <c r="K125" s="32">
        <f>IF(B124&lt;'Умови та класичний графік'!$J$14,IPMT($J$20/12,B125,$J$12,$J$11,0,0),"")</f>
        <v>-169063.62039575397</v>
      </c>
      <c r="L125" s="30">
        <f>IF(B124&lt;'Умови та класичний графік'!$J$14,-(SUM(M125:V125)),"")</f>
        <v>0</v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>
        <f>IF(B124&lt;'Умови та класичний графік'!$J$14,XIRR($G$34:G125,$C$34:C125,0),"")</f>
        <v>0.17457498535156252</v>
      </c>
      <c r="X125" s="42"/>
      <c r="Y125" s="35"/>
    </row>
    <row r="126" spans="2:25" x14ac:dyDescent="0.2">
      <c r="B126" s="25">
        <v>92</v>
      </c>
      <c r="C126" s="36">
        <f>IF(B125&lt;'Умови та класичний графік'!$J$14,EDATE(C125,1),"")</f>
        <v>46997</v>
      </c>
      <c r="D126" s="36">
        <f>IF(B125&lt;'Умови та класичний графік'!$J$14,C125,"")</f>
        <v>46966</v>
      </c>
      <c r="E126" s="26">
        <f>IF(B125&lt;'Умови та класичний графік'!$J$14,C126-1,"")</f>
        <v>46996</v>
      </c>
      <c r="F126" s="37">
        <f>IF(B125&lt;'Умови та класичний графік'!$J$14,E126-D126+1,"")</f>
        <v>31</v>
      </c>
      <c r="G126" s="140">
        <f>IF(B125&lt;'Умови та класичний графік'!$J$14,-(SUM(J126:L126)),"")</f>
        <v>181728.12970921039</v>
      </c>
      <c r="H126" s="140"/>
      <c r="I126" s="32">
        <f>IF(B125&lt;'Умови та класичний графік'!$J$14,I125+J126,"")</f>
        <v>9410553.1209256202</v>
      </c>
      <c r="J126" s="32">
        <f>IF(B125&lt;'Умови та класичний графік'!$J$14,PPMT($J$20/12,B126,$J$12,$J$11,0,0),"")</f>
        <v>-12891.41510532252</v>
      </c>
      <c r="K126" s="32">
        <f>IF(B125&lt;'Умови та класичний графік'!$J$14,IPMT($J$20/12,B126,$J$12,$J$11,0,0),"")</f>
        <v>-168836.71460388787</v>
      </c>
      <c r="L126" s="30">
        <f>IF(B125&lt;'Умови та класичний графік'!$J$14,-(SUM(M126:V126)),"")</f>
        <v>0</v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>
        <f>IF(B125&lt;'Умови та класичний графік'!$J$14,XIRR($G$34:G126,$C$34:C126,0),"")</f>
        <v>0.17661897949218752</v>
      </c>
      <c r="X126" s="42"/>
      <c r="Y126" s="35"/>
    </row>
    <row r="127" spans="2:25" x14ac:dyDescent="0.2">
      <c r="B127" s="25">
        <v>93</v>
      </c>
      <c r="C127" s="36">
        <f>IF(B126&lt;'Умови та класичний графік'!$J$14,EDATE(C126,1),"")</f>
        <v>47027</v>
      </c>
      <c r="D127" s="36">
        <f>IF(B126&lt;'Умови та класичний графік'!$J$14,C126,"")</f>
        <v>46997</v>
      </c>
      <c r="E127" s="26">
        <f>IF(B126&lt;'Умови та класичний графік'!$J$14,C127-1,"")</f>
        <v>47026</v>
      </c>
      <c r="F127" s="37">
        <f>IF(B126&lt;'Умови та класичний графік'!$J$14,E127-D127+1,"")</f>
        <v>30</v>
      </c>
      <c r="G127" s="140">
        <f>IF(B126&lt;'Умови та класичний графік'!$J$14,-(SUM(J127:L127)),"")</f>
        <v>181728.12970921039</v>
      </c>
      <c r="H127" s="140"/>
      <c r="I127" s="32">
        <f>IF(B126&lt;'Умови та класичний графік'!$J$14,I126+J127,"")</f>
        <v>9397430.7346329931</v>
      </c>
      <c r="J127" s="32">
        <f>IF(B126&lt;'Умови та класичний графік'!$J$14,PPMT($J$20/12,B127,$J$12,$J$11,0,0),"")</f>
        <v>-13122.386292626214</v>
      </c>
      <c r="K127" s="32">
        <f>IF(B126&lt;'Умови та класичний графік'!$J$14,IPMT($J$20/12,B127,$J$12,$J$11,0,0),"")</f>
        <v>-168605.74341658418</v>
      </c>
      <c r="L127" s="30">
        <f>IF(B126&lt;'Умови та класичний графік'!$J$14,-(SUM(M127:V127)),"")</f>
        <v>0</v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>
        <f>IF(B126&lt;'Умови та класичний графік'!$J$14,XIRR($G$34:G127,$C$34:C127,0),"")</f>
        <v>0.1786020654296876</v>
      </c>
      <c r="X127" s="42"/>
      <c r="Y127" s="35"/>
    </row>
    <row r="128" spans="2:25" x14ac:dyDescent="0.2">
      <c r="B128" s="25">
        <v>94</v>
      </c>
      <c r="C128" s="36">
        <f>IF(B127&lt;'Умови та класичний графік'!$J$14,EDATE(C127,1),"")</f>
        <v>47058</v>
      </c>
      <c r="D128" s="36">
        <f>IF(B127&lt;'Умови та класичний графік'!$J$14,C127,"")</f>
        <v>47027</v>
      </c>
      <c r="E128" s="26">
        <f>IF(B127&lt;'Умови та класичний графік'!$J$14,C128-1,"")</f>
        <v>47057</v>
      </c>
      <c r="F128" s="37">
        <f>IF(B127&lt;'Умови та класичний графік'!$J$14,E128-D128+1,"")</f>
        <v>31</v>
      </c>
      <c r="G128" s="140">
        <f>IF(B127&lt;'Умови та класичний графік'!$J$14,-(SUM(J128:L128)),"")</f>
        <v>181728.12970921039</v>
      </c>
      <c r="H128" s="140"/>
      <c r="I128" s="32">
        <f>IF(B127&lt;'Умови та класичний графік'!$J$14,I127+J128,"")</f>
        <v>9384073.2389192898</v>
      </c>
      <c r="J128" s="32">
        <f>IF(B127&lt;'Умови та класичний графік'!$J$14,PPMT($J$20/12,B128,$J$12,$J$11,0,0),"")</f>
        <v>-13357.495713702432</v>
      </c>
      <c r="K128" s="32">
        <f>IF(B127&lt;'Умови та класичний графік'!$J$14,IPMT($J$20/12,B128,$J$12,$J$11,0,0),"")</f>
        <v>-168370.63399550796</v>
      </c>
      <c r="L128" s="30">
        <f>IF(B127&lt;'Умови та класичний графік'!$J$14,-(SUM(M128:V128)),"")</f>
        <v>0</v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>
        <f>IF(B127&lt;'Умови та класичний графік'!$J$14,XIRR($G$34:G128,$C$34:C128,0),"")</f>
        <v>0.18052555175781254</v>
      </c>
      <c r="X128" s="42"/>
      <c r="Y128" s="35"/>
    </row>
    <row r="129" spans="2:25" x14ac:dyDescent="0.2">
      <c r="B129" s="25">
        <v>95</v>
      </c>
      <c r="C129" s="36">
        <f>IF(B128&lt;'Умови та класичний графік'!$J$14,EDATE(C128,1),"")</f>
        <v>47088</v>
      </c>
      <c r="D129" s="36">
        <f>IF(B128&lt;'Умови та класичний графік'!$J$14,C128,"")</f>
        <v>47058</v>
      </c>
      <c r="E129" s="26">
        <f>IF(B128&lt;'Умови та класичний графік'!$J$14,C129-1,"")</f>
        <v>47087</v>
      </c>
      <c r="F129" s="37">
        <f>IF(B128&lt;'Умови та класичний графік'!$J$14,E129-D129+1,"")</f>
        <v>30</v>
      </c>
      <c r="G129" s="140">
        <f>IF(B128&lt;'Умови та класичний графік'!$J$14,-(SUM(J129:L129)),"")</f>
        <v>181728.12970921039</v>
      </c>
      <c r="H129" s="140"/>
      <c r="I129" s="32">
        <f>IF(B128&lt;'Умови та класичний графік'!$J$14,I128+J129,"")</f>
        <v>9370476.4214073829</v>
      </c>
      <c r="J129" s="32">
        <f>IF(B128&lt;'Умови та класичний графік'!$J$14,PPMT($J$20/12,B129,$J$12,$J$11,0,0),"")</f>
        <v>-13596.817511906273</v>
      </c>
      <c r="K129" s="32">
        <f>IF(B128&lt;'Умови та класичний графік'!$J$14,IPMT($J$20/12,B129,$J$12,$J$11,0,0),"")</f>
        <v>-168131.31219730413</v>
      </c>
      <c r="L129" s="30">
        <f>IF(B128&lt;'Умови та класичний графік'!$J$14,-(SUM(M129:V129)),"")</f>
        <v>0</v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>
        <f>IF(B128&lt;'Умови та класичний графік'!$J$14,XIRR($G$34:G129,$C$34:C129,0),"")</f>
        <v>0.18239237792968754</v>
      </c>
      <c r="X129" s="42"/>
      <c r="Y129" s="35"/>
    </row>
    <row r="130" spans="2:25" x14ac:dyDescent="0.2">
      <c r="B130" s="25">
        <v>96</v>
      </c>
      <c r="C130" s="36">
        <f>IF(B129&lt;'Умови та класичний графік'!$J$14,EDATE(C129,1),"")</f>
        <v>47119</v>
      </c>
      <c r="D130" s="36">
        <f>IF(B129&lt;'Умови та класичний графік'!$J$14,C129,"")</f>
        <v>47088</v>
      </c>
      <c r="E130" s="26">
        <f>IF(B129&lt;'Умови та класичний графік'!$J$14,C130-1,"")</f>
        <v>47118</v>
      </c>
      <c r="F130" s="37">
        <f>IF(B129&lt;'Умови та класичний графік'!$J$14,E130-D130+1,"")</f>
        <v>31</v>
      </c>
      <c r="G130" s="140">
        <f>IF(B129&lt;'Умови та класичний графік'!$J$14,-(SUM(J130:L130)),"")</f>
        <v>250298.03769195557</v>
      </c>
      <c r="H130" s="140"/>
      <c r="I130" s="32">
        <f>IF(B129&lt;'Умови та класичний графік'!$J$14,I129+J130,"")</f>
        <v>9356635.9942483883</v>
      </c>
      <c r="J130" s="32">
        <f>IF(B129&lt;'Умови та класичний графік'!$J$14,PPMT($J$20/12,B130,$J$12,$J$11,0,0),"")</f>
        <v>-13840.427158994589</v>
      </c>
      <c r="K130" s="32">
        <f>IF(B129&lt;'Умови та класичний графік'!$J$14,IPMT($J$20/12,B130,$J$12,$J$11,0,0),"")</f>
        <v>-167887.70255021579</v>
      </c>
      <c r="L130" s="30">
        <f>IF(B129&lt;'Умови та класичний графік'!$J$14,-(SUM(M130:V130)),"")</f>
        <v>-68569.907982745164</v>
      </c>
      <c r="M130" s="38"/>
      <c r="N130" s="39"/>
      <c r="O130" s="39"/>
      <c r="P130" s="32"/>
      <c r="Q130" s="40"/>
      <c r="R130" s="40"/>
      <c r="S130" s="41"/>
      <c r="T130" s="41"/>
      <c r="U130" s="33">
        <f>IF(B129&lt;'Умови та класичний графік'!$J$14,('Умови та класичний графік'!$J$15*$N$18)+(I130*$N$19),"")</f>
        <v>68569.907982745164</v>
      </c>
      <c r="V130" s="41"/>
      <c r="W130" s="43">
        <f>IF(B129&lt;'Умови та класичний графік'!$J$14,XIRR($G$34:G130,$C$34:C130,0),"")</f>
        <v>0.18487979003906252</v>
      </c>
      <c r="X130" s="42"/>
      <c r="Y130" s="35"/>
    </row>
    <row r="131" spans="2:25" x14ac:dyDescent="0.2">
      <c r="B131" s="25">
        <v>97</v>
      </c>
      <c r="C131" s="36">
        <f>IF(B130&lt;'Умови та класичний графік'!$J$14,EDATE(C130,1),"")</f>
        <v>47150</v>
      </c>
      <c r="D131" s="36">
        <f>IF(B130&lt;'Умови та класичний графік'!$J$14,C130,"")</f>
        <v>47119</v>
      </c>
      <c r="E131" s="26">
        <f>IF(B130&lt;'Умови та класичний графік'!$J$14,C131-1,"")</f>
        <v>47149</v>
      </c>
      <c r="F131" s="37">
        <f>IF(B130&lt;'Умови та класичний графік'!$J$14,E131-D131+1,"")</f>
        <v>31</v>
      </c>
      <c r="G131" s="140">
        <f>IF(B130&lt;'Умови та класичний графік'!$J$14,-(SUM(J131:L131)),"")</f>
        <v>181728.12970921036</v>
      </c>
      <c r="H131" s="140"/>
      <c r="I131" s="32">
        <f>IF(B130&lt;'Умови та класичний графік'!$J$14,I130+J131,"")</f>
        <v>9342547.5927694626</v>
      </c>
      <c r="J131" s="32">
        <f>IF(B130&lt;'Умови та класичний графік'!$J$14,PPMT($J$20/12,B131,$J$12,$J$11,0,0),"")</f>
        <v>-14088.401478926573</v>
      </c>
      <c r="K131" s="32">
        <f>IF(B130&lt;'Умови та класичний графік'!$J$14,IPMT($J$20/12,B131,$J$12,$J$11,0,0),"")</f>
        <v>-167639.7282302838</v>
      </c>
      <c r="L131" s="30">
        <f>IF(B130&lt;'Умови та класичний графік'!$J$14,-(SUM(M131:V131)),"")</f>
        <v>0</v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>
        <f>IF(B130&lt;'Умови та класичний графік'!$J$14,XIRR($G$34:G131,$C$34:C131,0),"")</f>
        <v>0.18662725097656258</v>
      </c>
      <c r="X131" s="42"/>
      <c r="Y131" s="35"/>
    </row>
    <row r="132" spans="2:25" x14ac:dyDescent="0.2">
      <c r="B132" s="25">
        <v>98</v>
      </c>
      <c r="C132" s="36">
        <f>IF(B131&lt;'Умови та класичний графік'!$J$14,EDATE(C131,1),"")</f>
        <v>47178</v>
      </c>
      <c r="D132" s="36">
        <f>IF(B131&lt;'Умови та класичний графік'!$J$14,C131,"")</f>
        <v>47150</v>
      </c>
      <c r="E132" s="26">
        <f>IF(B131&lt;'Умови та класичний графік'!$J$14,C132-1,"")</f>
        <v>47177</v>
      </c>
      <c r="F132" s="37">
        <f>IF(B131&lt;'Умови та класичний графік'!$J$14,E132-D132+1,"")</f>
        <v>28</v>
      </c>
      <c r="G132" s="140">
        <f>IF(B131&lt;'Умови та класичний графік'!$J$14,-(SUM(J132:L132)),"")</f>
        <v>181728.12970921039</v>
      </c>
      <c r="H132" s="140"/>
      <c r="I132" s="32">
        <f>IF(B131&lt;'Умови та класичний графік'!$J$14,I131+J132,"")</f>
        <v>9328206.7740973718</v>
      </c>
      <c r="J132" s="32">
        <f>IF(B131&lt;'Умови та класичний графік'!$J$14,PPMT($J$20/12,B132,$J$12,$J$11,0,0),"")</f>
        <v>-14340.818672090672</v>
      </c>
      <c r="K132" s="32">
        <f>IF(B131&lt;'Умови та класичний графік'!$J$14,IPMT($J$20/12,B132,$J$12,$J$11,0,0),"")</f>
        <v>-167387.31103711971</v>
      </c>
      <c r="L132" s="30">
        <f>IF(B131&lt;'Умови та класичний графік'!$J$14,-(SUM(M132:V132)),"")</f>
        <v>0</v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>
        <f>IF(B131&lt;'Умови та класичний графік'!$J$14,XIRR($G$34:G132,$C$34:C132,0),"")</f>
        <v>0.18832580566406254</v>
      </c>
      <c r="X132" s="42"/>
      <c r="Y132" s="35"/>
    </row>
    <row r="133" spans="2:25" x14ac:dyDescent="0.2">
      <c r="B133" s="25">
        <v>99</v>
      </c>
      <c r="C133" s="36">
        <f>IF(B132&lt;'Умови та класичний графік'!$J$14,EDATE(C132,1),"")</f>
        <v>47209</v>
      </c>
      <c r="D133" s="36">
        <f>IF(B132&lt;'Умови та класичний графік'!$J$14,C132,"")</f>
        <v>47178</v>
      </c>
      <c r="E133" s="26">
        <f>IF(B132&lt;'Умови та класичний графік'!$J$14,C133-1,"")</f>
        <v>47208</v>
      </c>
      <c r="F133" s="37">
        <f>IF(B132&lt;'Умови та класичний графік'!$J$14,E133-D133+1,"")</f>
        <v>31</v>
      </c>
      <c r="G133" s="140">
        <f>IF(B132&lt;'Умови та класичний графік'!$J$14,-(SUM(J133:L133)),"")</f>
        <v>181728.12970921036</v>
      </c>
      <c r="H133" s="140"/>
      <c r="I133" s="32">
        <f>IF(B132&lt;'Умови та класичний графік'!$J$14,I132+J133,"")</f>
        <v>9313609.0157574061</v>
      </c>
      <c r="J133" s="32">
        <f>IF(B132&lt;'Умови та класичний графік'!$J$14,PPMT($J$20/12,B133,$J$12,$J$11,0,0),"")</f>
        <v>-14597.758339965636</v>
      </c>
      <c r="K133" s="32">
        <f>IF(B132&lt;'Умови та класичний графік'!$J$14,IPMT($J$20/12,B133,$J$12,$J$11,0,0),"")</f>
        <v>-167130.37136924473</v>
      </c>
      <c r="L133" s="30">
        <f>IF(B132&lt;'Умови та класичний графік'!$J$14,-(SUM(M133:V133)),"")</f>
        <v>0</v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>
        <f>IF(B132&lt;'Умови та класичний графік'!$J$14,XIRR($G$34:G133,$C$34:C133,0),"")</f>
        <v>0.1899747607421875</v>
      </c>
      <c r="X133" s="42"/>
      <c r="Y133" s="35"/>
    </row>
    <row r="134" spans="2:25" x14ac:dyDescent="0.2">
      <c r="B134" s="25">
        <v>100</v>
      </c>
      <c r="C134" s="36">
        <f>IF(B133&lt;'Умови та класичний графік'!$J$14,EDATE(C133,1),"")</f>
        <v>47239</v>
      </c>
      <c r="D134" s="36">
        <f>IF(B133&lt;'Умови та класичний графік'!$J$14,C133,"")</f>
        <v>47209</v>
      </c>
      <c r="E134" s="26">
        <f>IF(B133&lt;'Умови та класичний графік'!$J$14,C134-1,"")</f>
        <v>47238</v>
      </c>
      <c r="F134" s="37">
        <f>IF(B133&lt;'Умови та класичний графік'!$J$14,E134-D134+1,"")</f>
        <v>30</v>
      </c>
      <c r="G134" s="140">
        <f>IF(B133&lt;'Умови та класичний графік'!$J$14,-(SUM(J134:L134)),"")</f>
        <v>181728.12970921039</v>
      </c>
      <c r="H134" s="140"/>
      <c r="I134" s="32">
        <f>IF(B133&lt;'Умови та класичний графік'!$J$14,I133+J134,"")</f>
        <v>9298749.714247182</v>
      </c>
      <c r="J134" s="32">
        <f>IF(B133&lt;'Умови та класичний графік'!$J$14,PPMT($J$20/12,B134,$J$12,$J$11,0,0),"")</f>
        <v>-14859.301510223349</v>
      </c>
      <c r="K134" s="32">
        <f>IF(B133&lt;'Умови та класичний графік'!$J$14,IPMT($J$20/12,B134,$J$12,$J$11,0,0),"")</f>
        <v>-166868.82819898703</v>
      </c>
      <c r="L134" s="30">
        <f>IF(B133&lt;'Умови та класичний графік'!$J$14,-(SUM(M134:V134)),"")</f>
        <v>0</v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>
        <f>IF(B133&lt;'Умови та класичний графік'!$J$14,XIRR($G$34:G134,$C$34:C134,0),"")</f>
        <v>0.19157656738281253</v>
      </c>
      <c r="X134" s="42"/>
      <c r="Y134" s="35"/>
    </row>
    <row r="135" spans="2:25" x14ac:dyDescent="0.2">
      <c r="B135" s="25">
        <v>101</v>
      </c>
      <c r="C135" s="36">
        <f>IF(B134&lt;'Умови та класичний графік'!$J$14,EDATE(C134,1),"")</f>
        <v>47270</v>
      </c>
      <c r="D135" s="36">
        <f>IF(B134&lt;'Умови та класичний графік'!$J$14,C134,"")</f>
        <v>47239</v>
      </c>
      <c r="E135" s="26">
        <f>IF(B134&lt;'Умови та класичний графік'!$J$14,C135-1,"")</f>
        <v>47269</v>
      </c>
      <c r="F135" s="37">
        <f>IF(B134&lt;'Умови та класичний графік'!$J$14,E135-D135+1,"")</f>
        <v>31</v>
      </c>
      <c r="G135" s="140">
        <f>IF(B134&lt;'Умови та класичний графік'!$J$14,-(SUM(J135:L135)),"")</f>
        <v>181728.12970921039</v>
      </c>
      <c r="H135" s="140"/>
      <c r="I135" s="32">
        <f>IF(B134&lt;'Умови та класичний графік'!$J$14,I134+J135,"")</f>
        <v>9283624.1835849006</v>
      </c>
      <c r="J135" s="32">
        <f>IF(B134&lt;'Умови та класичний графік'!$J$14,PPMT($J$20/12,B135,$J$12,$J$11,0,0),"")</f>
        <v>-15125.530662281517</v>
      </c>
      <c r="K135" s="32">
        <f>IF(B134&lt;'Умови та класичний графік'!$J$14,IPMT($J$20/12,B135,$J$12,$J$11,0,0),"")</f>
        <v>-166602.59904692887</v>
      </c>
      <c r="L135" s="30">
        <f>IF(B134&lt;'Умови та класичний графік'!$J$14,-(SUM(M135:V135)),"")</f>
        <v>0</v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>
        <f>IF(B134&lt;'Умови та класичний графік'!$J$14,XIRR($G$34:G135,$C$34:C135,0),"")</f>
        <v>0.19313207519531256</v>
      </c>
      <c r="X135" s="42"/>
      <c r="Y135" s="35"/>
    </row>
    <row r="136" spans="2:25" x14ac:dyDescent="0.2">
      <c r="B136" s="25">
        <v>102</v>
      </c>
      <c r="C136" s="36">
        <f>IF(B135&lt;'Умови та класичний графік'!$J$14,EDATE(C135,1),"")</f>
        <v>47300</v>
      </c>
      <c r="D136" s="36">
        <f>IF(B135&lt;'Умови та класичний графік'!$J$14,C135,"")</f>
        <v>47270</v>
      </c>
      <c r="E136" s="26">
        <f>IF(B135&lt;'Умови та класичний графік'!$J$14,C136-1,"")</f>
        <v>47299</v>
      </c>
      <c r="F136" s="37">
        <f>IF(B135&lt;'Умови та класичний графік'!$J$14,E136-D136+1,"")</f>
        <v>30</v>
      </c>
      <c r="G136" s="140">
        <f>IF(B135&lt;'Умови та класичний графік'!$J$14,-(SUM(J136:L136)),"")</f>
        <v>181728.12970921039</v>
      </c>
      <c r="H136" s="140"/>
      <c r="I136" s="32">
        <f>IF(B135&lt;'Умови та класичний графік'!$J$14,I135+J136,"")</f>
        <v>9268227.6538315862</v>
      </c>
      <c r="J136" s="32">
        <f>IF(B135&lt;'Умови та класичний графік'!$J$14,PPMT($J$20/12,B136,$J$12,$J$11,0,0),"")</f>
        <v>-15396.529753314066</v>
      </c>
      <c r="K136" s="32">
        <f>IF(B135&lt;'Умови та класичний графік'!$J$14,IPMT($J$20/12,B136,$J$12,$J$11,0,0),"")</f>
        <v>-166331.59995589632</v>
      </c>
      <c r="L136" s="30">
        <f>IF(B135&lt;'Умови та класичний графік'!$J$14,-(SUM(M136:V136)),"")</f>
        <v>0</v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>
        <f>IF(B135&lt;'Умови та класичний графік'!$J$14,XIRR($G$34:G136,$C$34:C136,0),"")</f>
        <v>0.19464357910156255</v>
      </c>
      <c r="X136" s="42"/>
      <c r="Y136" s="35"/>
    </row>
    <row r="137" spans="2:25" x14ac:dyDescent="0.2">
      <c r="B137" s="25">
        <v>103</v>
      </c>
      <c r="C137" s="36">
        <f>IF(B136&lt;'Умови та класичний графік'!$J$14,EDATE(C136,1),"")</f>
        <v>47331</v>
      </c>
      <c r="D137" s="36">
        <f>IF(B136&lt;'Умови та класичний графік'!$J$14,C136,"")</f>
        <v>47300</v>
      </c>
      <c r="E137" s="26">
        <f>IF(B136&lt;'Умови та класичний графік'!$J$14,C137-1,"")</f>
        <v>47330</v>
      </c>
      <c r="F137" s="37">
        <f>IF(B136&lt;'Умови та класичний графік'!$J$14,E137-D137+1,"")</f>
        <v>31</v>
      </c>
      <c r="G137" s="140">
        <f>IF(B136&lt;'Умови та класичний графік'!$J$14,-(SUM(J137:L137)),"")</f>
        <v>181728.12970921036</v>
      </c>
      <c r="H137" s="140"/>
      <c r="I137" s="32">
        <f>IF(B136&lt;'Умови та класичний графік'!$J$14,I136+J137,"")</f>
        <v>9252555.2695868593</v>
      </c>
      <c r="J137" s="32">
        <f>IF(B136&lt;'Умови та класичний графік'!$J$14,PPMT($J$20/12,B137,$J$12,$J$11,0,0),"")</f>
        <v>-15672.384244727609</v>
      </c>
      <c r="K137" s="32">
        <f>IF(B136&lt;'Умови та класичний графік'!$J$14,IPMT($J$20/12,B137,$J$12,$J$11,0,0),"")</f>
        <v>-166055.74546448275</v>
      </c>
      <c r="L137" s="30">
        <f>IF(B136&lt;'Умови та класичний графік'!$J$14,-(SUM(M137:V137)),"")</f>
        <v>0</v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>
        <f>IF(B136&lt;'Умови та класичний графік'!$J$14,XIRR($G$34:G137,$C$34:C137,0),"")</f>
        <v>0.19611181152343754</v>
      </c>
      <c r="X137" s="42"/>
      <c r="Y137" s="35"/>
    </row>
    <row r="138" spans="2:25" x14ac:dyDescent="0.2">
      <c r="B138" s="25">
        <v>104</v>
      </c>
      <c r="C138" s="36">
        <f>IF(B137&lt;'Умови та класичний графік'!$J$14,EDATE(C137,1),"")</f>
        <v>47362</v>
      </c>
      <c r="D138" s="36">
        <f>IF(B137&lt;'Умови та класичний графік'!$J$14,C137,"")</f>
        <v>47331</v>
      </c>
      <c r="E138" s="26">
        <f>IF(B137&lt;'Умови та класичний графік'!$J$14,C138-1,"")</f>
        <v>47361</v>
      </c>
      <c r="F138" s="37">
        <f>IF(B137&lt;'Умови та класичний графік'!$J$14,E138-D138+1,"")</f>
        <v>31</v>
      </c>
      <c r="G138" s="140">
        <f>IF(B137&lt;'Умови та класичний графік'!$J$14,-(SUM(J138:L138)),"")</f>
        <v>181728.12970921039</v>
      </c>
      <c r="H138" s="140"/>
      <c r="I138" s="32">
        <f>IF(B137&lt;'Умови та класичний графік'!$J$14,I137+J138,"")</f>
        <v>9236602.0884577464</v>
      </c>
      <c r="J138" s="32">
        <f>IF(B137&lt;'Умови та класичний графік'!$J$14,PPMT($J$20/12,B138,$J$12,$J$11,0,0),"")</f>
        <v>-15953.181129112309</v>
      </c>
      <c r="K138" s="32">
        <f>IF(B137&lt;'Умови та класичний графік'!$J$14,IPMT($J$20/12,B138,$J$12,$J$11,0,0),"")</f>
        <v>-165774.94858009808</v>
      </c>
      <c r="L138" s="30">
        <f>IF(B137&lt;'Умови та класичний графік'!$J$14,-(SUM(M138:V138)),"")</f>
        <v>0</v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>
        <f>IF(B137&lt;'Умови та класичний графік'!$J$14,XIRR($G$34:G138,$C$34:C138,0),"")</f>
        <v>0.1975382373046875</v>
      </c>
      <c r="X138" s="42"/>
      <c r="Y138" s="35"/>
    </row>
    <row r="139" spans="2:25" x14ac:dyDescent="0.2">
      <c r="B139" s="25">
        <v>105</v>
      </c>
      <c r="C139" s="36">
        <f>IF(B138&lt;'Умови та класичний графік'!$J$14,EDATE(C138,1),"")</f>
        <v>47392</v>
      </c>
      <c r="D139" s="36">
        <f>IF(B138&lt;'Умови та класичний графік'!$J$14,C138,"")</f>
        <v>47362</v>
      </c>
      <c r="E139" s="26">
        <f>IF(B138&lt;'Умови та класичний графік'!$J$14,C139-1,"")</f>
        <v>47391</v>
      </c>
      <c r="F139" s="37">
        <f>IF(B138&lt;'Умови та класичний графік'!$J$14,E139-D139+1,"")</f>
        <v>30</v>
      </c>
      <c r="G139" s="140">
        <f>IF(B138&lt;'Умови та класичний графік'!$J$14,-(SUM(J139:L139)),"")</f>
        <v>181728.12970921036</v>
      </c>
      <c r="H139" s="140"/>
      <c r="I139" s="32">
        <f>IF(B138&lt;'Умови та класичний графік'!$J$14,I138+J139,"")</f>
        <v>9220363.0795000717</v>
      </c>
      <c r="J139" s="32">
        <f>IF(B138&lt;'Умови та класичний графік'!$J$14,PPMT($J$20/12,B139,$J$12,$J$11,0,0),"")</f>
        <v>-16239.008957675576</v>
      </c>
      <c r="K139" s="32">
        <f>IF(B138&lt;'Умови та класичний графік'!$J$14,IPMT($J$20/12,B139,$J$12,$J$11,0,0),"")</f>
        <v>-165489.12075153479</v>
      </c>
      <c r="L139" s="30">
        <f>IF(B138&lt;'Умови та класичний графік'!$J$14,-(SUM(M139:V139)),"")</f>
        <v>0</v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>
        <f>IF(B138&lt;'Умови та класичний графік'!$J$14,XIRR($G$34:G139,$C$34:C139,0),"")</f>
        <v>0.19892491699218751</v>
      </c>
      <c r="X139" s="42"/>
      <c r="Y139" s="35"/>
    </row>
    <row r="140" spans="2:25" x14ac:dyDescent="0.2">
      <c r="B140" s="25">
        <v>106</v>
      </c>
      <c r="C140" s="36">
        <f>IF(B139&lt;'Умови та класичний графік'!$J$14,EDATE(C139,1),"")</f>
        <v>47423</v>
      </c>
      <c r="D140" s="36">
        <f>IF(B139&lt;'Умови та класичний графік'!$J$14,C139,"")</f>
        <v>47392</v>
      </c>
      <c r="E140" s="26">
        <f>IF(B139&lt;'Умови та класичний графік'!$J$14,C140-1,"")</f>
        <v>47422</v>
      </c>
      <c r="F140" s="37">
        <f>IF(B139&lt;'Умови та класичний графік'!$J$14,E140-D140+1,"")</f>
        <v>31</v>
      </c>
      <c r="G140" s="140">
        <f>IF(B139&lt;'Умови та класичний графік'!$J$14,-(SUM(J140:L140)),"")</f>
        <v>181728.12970921039</v>
      </c>
      <c r="H140" s="140"/>
      <c r="I140" s="32">
        <f>IF(B139&lt;'Умови та класичний графік'!$J$14,I139+J140,"")</f>
        <v>9203833.1216319036</v>
      </c>
      <c r="J140" s="32">
        <f>IF(B139&lt;'Умови та класичний графік'!$J$14,PPMT($J$20/12,B140,$J$12,$J$11,0,0),"")</f>
        <v>-16529.957868167257</v>
      </c>
      <c r="K140" s="32">
        <f>IF(B139&lt;'Умови та класичний графік'!$J$14,IPMT($J$20/12,B140,$J$12,$J$11,0,0),"")</f>
        <v>-165198.17184104313</v>
      </c>
      <c r="L140" s="30">
        <f>IF(B139&lt;'Умови та класичний графік'!$J$14,-(SUM(M140:V140)),"")</f>
        <v>0</v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>
        <f>IF(B139&lt;'Умови та класичний графік'!$J$14,XIRR($G$34:G140,$C$34:C140,0),"")</f>
        <v>0.20027247558593753</v>
      </c>
      <c r="X140" s="42"/>
      <c r="Y140" s="35"/>
    </row>
    <row r="141" spans="2:25" x14ac:dyDescent="0.2">
      <c r="B141" s="25">
        <v>107</v>
      </c>
      <c r="C141" s="36">
        <f>IF(B140&lt;'Умови та класичний графік'!$J$14,EDATE(C140,1),"")</f>
        <v>47453</v>
      </c>
      <c r="D141" s="36">
        <f>IF(B140&lt;'Умови та класичний графік'!$J$14,C140,"")</f>
        <v>47423</v>
      </c>
      <c r="E141" s="26">
        <f>IF(B140&lt;'Умови та класичний графік'!$J$14,C141-1,"")</f>
        <v>47452</v>
      </c>
      <c r="F141" s="37">
        <f>IF(B140&lt;'Умови та класичний графік'!$J$14,E141-D141+1,"")</f>
        <v>30</v>
      </c>
      <c r="G141" s="140">
        <f>IF(B140&lt;'Умови та класичний графік'!$J$14,-(SUM(J141:L141)),"")</f>
        <v>181728.12970921036</v>
      </c>
      <c r="H141" s="140"/>
      <c r="I141" s="32">
        <f>IF(B140&lt;'Умови та класичний графік'!$J$14,I140+J141,"")</f>
        <v>9187007.0020185988</v>
      </c>
      <c r="J141" s="32">
        <f>IF(B140&lt;'Умови та класичний графік'!$J$14,PPMT($J$20/12,B141,$J$12,$J$11,0,0),"")</f>
        <v>-16826.119613305254</v>
      </c>
      <c r="K141" s="32">
        <f>IF(B140&lt;'Умови та класичний графік'!$J$14,IPMT($J$20/12,B141,$J$12,$J$11,0,0),"")</f>
        <v>-164902.01009590511</v>
      </c>
      <c r="L141" s="30">
        <f>IF(B140&lt;'Умови та класичний графік'!$J$14,-(SUM(M141:V141)),"")</f>
        <v>0</v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>
        <f>IF(B140&lt;'Умови та класичний графік'!$J$14,XIRR($G$34:G141,$C$34:C141,0),"")</f>
        <v>0.20158287597656255</v>
      </c>
      <c r="X141" s="42"/>
      <c r="Y141" s="35"/>
    </row>
    <row r="142" spans="2:25" x14ac:dyDescent="0.2">
      <c r="B142" s="25">
        <v>108</v>
      </c>
      <c r="C142" s="36">
        <f>IF(B141&lt;'Умови та класичний графік'!$J$14,EDATE(C141,1),"")</f>
        <v>47484</v>
      </c>
      <c r="D142" s="36">
        <f>IF(B141&lt;'Умови та класичний графік'!$J$14,C141,"")</f>
        <v>47453</v>
      </c>
      <c r="E142" s="26">
        <f>IF(B141&lt;'Умови та класичний графік'!$J$14,C142-1,"")</f>
        <v>47483</v>
      </c>
      <c r="F142" s="37">
        <f>IF(B141&lt;'Умови та класичний графік'!$J$14,E142-D142+1,"")</f>
        <v>31</v>
      </c>
      <c r="G142" s="140">
        <f>IF(B141&lt;'Умови та класичний графік'!$J$14,-(SUM(J142:L142)),"")</f>
        <v>249737.76795249706</v>
      </c>
      <c r="H142" s="140"/>
      <c r="I142" s="32">
        <f>IF(B141&lt;'Умови та класичний графік'!$J$14,I141+J142,"")</f>
        <v>9169879.4144288879</v>
      </c>
      <c r="J142" s="32">
        <f>IF(B141&lt;'Умови та класичний графік'!$J$14,PPMT($J$20/12,B142,$J$12,$J$11,0,0),"")</f>
        <v>-17127.587589710303</v>
      </c>
      <c r="K142" s="32">
        <f>IF(B141&lt;'Умови та класичний графік'!$J$14,IPMT($J$20/12,B142,$J$12,$J$11,0,0),"")</f>
        <v>-164600.54211950008</v>
      </c>
      <c r="L142" s="30">
        <f>IF(B141&lt;'Умови та класичний графік'!$J$14,-(SUM(M142:V142)),"")</f>
        <v>-68009.638243286667</v>
      </c>
      <c r="M142" s="38"/>
      <c r="N142" s="39"/>
      <c r="O142" s="39"/>
      <c r="P142" s="32"/>
      <c r="Q142" s="40"/>
      <c r="R142" s="40"/>
      <c r="S142" s="41"/>
      <c r="T142" s="41"/>
      <c r="U142" s="33">
        <f>IF(B141&lt;'Умови та класичний графік'!$J$14,('Умови та класичний графік'!$J$15*$N$18)+(I142*$N$19),"")</f>
        <v>68009.638243286667</v>
      </c>
      <c r="V142" s="41"/>
      <c r="W142" s="43">
        <f>IF(B141&lt;'Умови та класичний графік'!$J$14,XIRR($G$34:G142,$C$34:C142,0),"")</f>
        <v>0.20332924316406253</v>
      </c>
      <c r="X142" s="42"/>
      <c r="Y142" s="35"/>
    </row>
    <row r="143" spans="2:25" x14ac:dyDescent="0.2">
      <c r="B143" s="25">
        <v>109</v>
      </c>
      <c r="C143" s="36">
        <f>IF(B142&lt;'Умови та класичний графік'!$J$14,EDATE(C142,1),"")</f>
        <v>47515</v>
      </c>
      <c r="D143" s="36">
        <f>IF(B142&lt;'Умови та класичний графік'!$J$14,C142,"")</f>
        <v>47484</v>
      </c>
      <c r="E143" s="26">
        <f>IF(B142&lt;'Умови та класичний графік'!$J$14,C143-1,"")</f>
        <v>47514</v>
      </c>
      <c r="F143" s="37">
        <f>IF(B142&lt;'Умови та класичний графік'!$J$14,E143-D143+1,"")</f>
        <v>31</v>
      </c>
      <c r="G143" s="140">
        <f>IF(B142&lt;'Умови та класичний графік'!$J$14,-(SUM(J143:L143)),"")</f>
        <v>181728.12970921036</v>
      </c>
      <c r="H143" s="140"/>
      <c r="I143" s="32">
        <f>IF(B142&lt;'Умови та класичний графік'!$J$14,I142+J143,"")</f>
        <v>9152444.9575615283</v>
      </c>
      <c r="J143" s="32">
        <f>IF(B142&lt;'Умови та класичний графік'!$J$14,PPMT($J$20/12,B143,$J$12,$J$11,0,0),"")</f>
        <v>-17434.456867359288</v>
      </c>
      <c r="K143" s="32">
        <f>IF(B142&lt;'Умови та класичний графік'!$J$14,IPMT($J$20/12,B143,$J$12,$J$11,0,0),"")</f>
        <v>-164293.67284185108</v>
      </c>
      <c r="L143" s="30">
        <f>IF(B142&lt;'Умови та класичний графік'!$J$14,-(SUM(M143:V143)),"")</f>
        <v>0</v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>
        <f>IF(B142&lt;'Умови та класичний графік'!$J$14,XIRR($G$34:G143,$C$34:C143,0),"")</f>
        <v>0.20456183105468756</v>
      </c>
      <c r="X143" s="42"/>
      <c r="Y143" s="35"/>
    </row>
    <row r="144" spans="2:25" x14ac:dyDescent="0.2">
      <c r="B144" s="25">
        <v>110</v>
      </c>
      <c r="C144" s="36">
        <f>IF(B143&lt;'Умови та класичний графік'!$J$14,EDATE(C143,1),"")</f>
        <v>47543</v>
      </c>
      <c r="D144" s="36">
        <f>IF(B143&lt;'Умови та класичний графік'!$J$14,C143,"")</f>
        <v>47515</v>
      </c>
      <c r="E144" s="26">
        <f>IF(B143&lt;'Умови та класичний графік'!$J$14,C144-1,"")</f>
        <v>47542</v>
      </c>
      <c r="F144" s="37">
        <f>IF(B143&lt;'Умови та класичний графік'!$J$14,E144-D144+1,"")</f>
        <v>28</v>
      </c>
      <c r="G144" s="140">
        <f>IF(B143&lt;'Умови та класичний графік'!$J$14,-(SUM(J144:L144)),"")</f>
        <v>181728.12970921039</v>
      </c>
      <c r="H144" s="140"/>
      <c r="I144" s="32">
        <f>IF(B143&lt;'Умови та класичний графік'!$J$14,I143+J144,"")</f>
        <v>9134698.1333419625</v>
      </c>
      <c r="J144" s="32">
        <f>IF(B143&lt;'Умови та класичний графік'!$J$14,PPMT($J$20/12,B144,$J$12,$J$11,0,0),"")</f>
        <v>-17746.824219566137</v>
      </c>
      <c r="K144" s="32">
        <f>IF(B143&lt;'Умови та класичний графік'!$J$14,IPMT($J$20/12,B144,$J$12,$J$11,0,0),"")</f>
        <v>-163981.30548964426</v>
      </c>
      <c r="L144" s="30">
        <f>IF(B143&lt;'Умови та класичний графік'!$J$14,-(SUM(M144:V144)),"")</f>
        <v>0</v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>
        <f>IF(B143&lt;'Умови та класичний графік'!$J$14,XIRR($G$34:G144,$C$34:C144,0),"")</f>
        <v>0.20576218261718759</v>
      </c>
      <c r="X144" s="42"/>
      <c r="Y144" s="35"/>
    </row>
    <row r="145" spans="2:25" x14ac:dyDescent="0.2">
      <c r="B145" s="25">
        <v>111</v>
      </c>
      <c r="C145" s="36">
        <f>IF(B144&lt;'Умови та класичний графік'!$J$14,EDATE(C144,1),"")</f>
        <v>47574</v>
      </c>
      <c r="D145" s="36">
        <f>IF(B144&lt;'Умови та класичний графік'!$J$14,C144,"")</f>
        <v>47543</v>
      </c>
      <c r="E145" s="26">
        <f>IF(B144&lt;'Умови та класичний графік'!$J$14,C145-1,"")</f>
        <v>47573</v>
      </c>
      <c r="F145" s="37">
        <f>IF(B144&lt;'Умови та класичний графік'!$J$14,E145-D145+1,"")</f>
        <v>31</v>
      </c>
      <c r="G145" s="140">
        <f>IF(B144&lt;'Умови та класичний графік'!$J$14,-(SUM(J145:L145)),"")</f>
        <v>181728.12970921036</v>
      </c>
      <c r="H145" s="140"/>
      <c r="I145" s="32">
        <f>IF(B144&lt;'Умови та класичний графік'!$J$14,I144+J145,"")</f>
        <v>9116633.3451884631</v>
      </c>
      <c r="J145" s="32">
        <f>IF(B144&lt;'Умови та класичний графік'!$J$14,PPMT($J$20/12,B145,$J$12,$J$11,0,0),"")</f>
        <v>-18064.788153500031</v>
      </c>
      <c r="K145" s="32">
        <f>IF(B144&lt;'Умови та класичний графік'!$J$14,IPMT($J$20/12,B145,$J$12,$J$11,0,0),"")</f>
        <v>-163663.34155571033</v>
      </c>
      <c r="L145" s="30">
        <f>IF(B144&lt;'Умови та класичний графік'!$J$14,-(SUM(M145:V145)),"")</f>
        <v>0</v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>
        <f>IF(B144&lt;'Умови та класичний графік'!$J$14,XIRR($G$34:G145,$C$34:C145,0),"")</f>
        <v>0.20692949707031255</v>
      </c>
      <c r="X145" s="42"/>
      <c r="Y145" s="35"/>
    </row>
    <row r="146" spans="2:25" x14ac:dyDescent="0.2">
      <c r="B146" s="25">
        <v>112</v>
      </c>
      <c r="C146" s="36">
        <f>IF(B145&lt;'Умови та класичний графік'!$J$14,EDATE(C145,1),"")</f>
        <v>47604</v>
      </c>
      <c r="D146" s="36">
        <f>IF(B145&lt;'Умови та класичний графік'!$J$14,C145,"")</f>
        <v>47574</v>
      </c>
      <c r="E146" s="26">
        <f>IF(B145&lt;'Умови та класичний графік'!$J$14,C146-1,"")</f>
        <v>47603</v>
      </c>
      <c r="F146" s="37">
        <f>IF(B145&lt;'Умови та класичний графік'!$J$14,E146-D146+1,"")</f>
        <v>30</v>
      </c>
      <c r="G146" s="140">
        <f>IF(B145&lt;'Умови та класичний графік'!$J$14,-(SUM(J146:L146)),"")</f>
        <v>181728.12970921039</v>
      </c>
      <c r="H146" s="140"/>
      <c r="I146" s="32">
        <f>IF(B145&lt;'Умови та класичний графік'!$J$14,I145+J146,"")</f>
        <v>9098244.8962472137</v>
      </c>
      <c r="J146" s="32">
        <f>IF(B145&lt;'Умови та класичний графік'!$J$14,PPMT($J$20/12,B146,$J$12,$J$11,0,0),"")</f>
        <v>-18388.448941250244</v>
      </c>
      <c r="K146" s="32">
        <f>IF(B145&lt;'Умови та класичний графік'!$J$14,IPMT($J$20/12,B146,$J$12,$J$11,0,0),"")</f>
        <v>-163339.68076796015</v>
      </c>
      <c r="L146" s="30">
        <f>IF(B145&lt;'Умови та класичний графік'!$J$14,-(SUM(M146:V146)),"")</f>
        <v>0</v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>
        <f>IF(B145&lt;'Умови та класичний графік'!$J$14,XIRR($G$34:G146,$C$34:C146,0),"")</f>
        <v>0.20806542480468754</v>
      </c>
      <c r="X146" s="42"/>
      <c r="Y146" s="35"/>
    </row>
    <row r="147" spans="2:25" x14ac:dyDescent="0.2">
      <c r="B147" s="25">
        <v>113</v>
      </c>
      <c r="C147" s="36">
        <f>IF(B146&lt;'Умови та класичний графік'!$J$14,EDATE(C146,1),"")</f>
        <v>47635</v>
      </c>
      <c r="D147" s="36">
        <f>IF(B146&lt;'Умови та класичний графік'!$J$14,C146,"")</f>
        <v>47604</v>
      </c>
      <c r="E147" s="26">
        <f>IF(B146&lt;'Умови та класичний графік'!$J$14,C147-1,"")</f>
        <v>47634</v>
      </c>
      <c r="F147" s="37">
        <f>IF(B146&lt;'Умови та класичний графік'!$J$14,E147-D147+1,"")</f>
        <v>31</v>
      </c>
      <c r="G147" s="140">
        <f>IF(B146&lt;'Умови та класичний графік'!$J$14,-(SUM(J147:L147)),"")</f>
        <v>181728.12970921039</v>
      </c>
      <c r="H147" s="140"/>
      <c r="I147" s="32">
        <f>IF(B146&lt;'Умови та класичний графік'!$J$14,I146+J147,"")</f>
        <v>9079526.9875957668</v>
      </c>
      <c r="J147" s="32">
        <f>IF(B146&lt;'Умови та класичний графік'!$J$14,PPMT($J$20/12,B147,$J$12,$J$11,0,0),"")</f>
        <v>-18717.90865144764</v>
      </c>
      <c r="K147" s="32">
        <f>IF(B146&lt;'Умови та класичний графік'!$J$14,IPMT($J$20/12,B147,$J$12,$J$11,0,0),"")</f>
        <v>-163010.22105776274</v>
      </c>
      <c r="L147" s="30">
        <f>IF(B146&lt;'Умови та класичний графік'!$J$14,-(SUM(M147:V147)),"")</f>
        <v>0</v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>
        <f>IF(B146&lt;'Умови та класичний графік'!$J$14,XIRR($G$34:G147,$C$34:C147,0),"")</f>
        <v>0.20917036621093754</v>
      </c>
      <c r="X147" s="42"/>
      <c r="Y147" s="35"/>
    </row>
    <row r="148" spans="2:25" x14ac:dyDescent="0.2">
      <c r="B148" s="25">
        <v>114</v>
      </c>
      <c r="C148" s="36">
        <f>IF(B147&lt;'Умови та класичний графік'!$J$14,EDATE(C147,1),"")</f>
        <v>47665</v>
      </c>
      <c r="D148" s="36">
        <f>IF(B147&lt;'Умови та класичний графік'!$J$14,C147,"")</f>
        <v>47635</v>
      </c>
      <c r="E148" s="26">
        <f>IF(B147&lt;'Умови та класичний графік'!$J$14,C148-1,"")</f>
        <v>47664</v>
      </c>
      <c r="F148" s="37">
        <f>IF(B147&lt;'Умови та класичний графік'!$J$14,E148-D148+1,"")</f>
        <v>30</v>
      </c>
      <c r="G148" s="140">
        <f>IF(B147&lt;'Умови та класичний графік'!$J$14,-(SUM(J148:L148)),"")</f>
        <v>181728.12970921036</v>
      </c>
      <c r="H148" s="140"/>
      <c r="I148" s="32">
        <f>IF(B147&lt;'Умови та класичний графік'!$J$14,I147+J148,"")</f>
        <v>9060473.7164143138</v>
      </c>
      <c r="J148" s="32">
        <f>IF(B147&lt;'Умови та класичний графік'!$J$14,PPMT($J$20/12,B148,$J$12,$J$11,0,0),"")</f>
        <v>-19053.271181452743</v>
      </c>
      <c r="K148" s="32">
        <f>IF(B147&lt;'Умови та класичний графік'!$J$14,IPMT($J$20/12,B148,$J$12,$J$11,0,0),"")</f>
        <v>-162674.85852775763</v>
      </c>
      <c r="L148" s="30">
        <f>IF(B147&lt;'Умови та класичний графік'!$J$14,-(SUM(M148:V148)),"")</f>
        <v>0</v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>
        <f>IF(B147&lt;'Умови та класичний графік'!$J$14,XIRR($G$34:G148,$C$34:C148,0),"")</f>
        <v>0.21024585449218752</v>
      </c>
      <c r="X148" s="42"/>
      <c r="Y148" s="35"/>
    </row>
    <row r="149" spans="2:25" x14ac:dyDescent="0.2">
      <c r="B149" s="25">
        <v>115</v>
      </c>
      <c r="C149" s="36">
        <f>IF(B148&lt;'Умови та класичний графік'!$J$14,EDATE(C148,1),"")</f>
        <v>47696</v>
      </c>
      <c r="D149" s="36">
        <f>IF(B148&lt;'Умови та класичний графік'!$J$14,C148,"")</f>
        <v>47665</v>
      </c>
      <c r="E149" s="26">
        <f>IF(B148&lt;'Умови та класичний графік'!$J$14,C149-1,"")</f>
        <v>47695</v>
      </c>
      <c r="F149" s="37">
        <f>IF(B148&lt;'Умови та класичний графік'!$J$14,E149-D149+1,"")</f>
        <v>31</v>
      </c>
      <c r="G149" s="140">
        <f>IF(B148&lt;'Умови та класичний графік'!$J$14,-(SUM(J149:L149)),"")</f>
        <v>181728.12970921039</v>
      </c>
      <c r="H149" s="140"/>
      <c r="I149" s="32">
        <f>IF(B148&lt;'Умови та класичний графік'!$J$14,I148+J149,"")</f>
        <v>9041079.0741241928</v>
      </c>
      <c r="J149" s="32">
        <f>IF(B148&lt;'Умови та класичний графік'!$J$14,PPMT($J$20/12,B149,$J$12,$J$11,0,0),"")</f>
        <v>-19394.642290120442</v>
      </c>
      <c r="K149" s="32">
        <f>IF(B148&lt;'Умови та класичний графік'!$J$14,IPMT($J$20/12,B149,$J$12,$J$11,0,0),"")</f>
        <v>-162333.48741908994</v>
      </c>
      <c r="L149" s="30">
        <f>IF(B148&lt;'Умови та класичний графік'!$J$14,-(SUM(M149:V149)),"")</f>
        <v>0</v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>
        <f>IF(B148&lt;'Умови та класичний графік'!$J$14,XIRR($G$34:G149,$C$34:C149,0),"")</f>
        <v>0.21129227050781257</v>
      </c>
      <c r="X149" s="42"/>
      <c r="Y149" s="35"/>
    </row>
    <row r="150" spans="2:25" x14ac:dyDescent="0.2">
      <c r="B150" s="25">
        <v>116</v>
      </c>
      <c r="C150" s="36">
        <f>IF(B149&lt;'Умови та класичний графік'!$J$14,EDATE(C149,1),"")</f>
        <v>47727</v>
      </c>
      <c r="D150" s="36">
        <f>IF(B149&lt;'Умови та класичний графік'!$J$14,C149,"")</f>
        <v>47696</v>
      </c>
      <c r="E150" s="26">
        <f>IF(B149&lt;'Умови та класичний графік'!$J$14,C150-1,"")</f>
        <v>47726</v>
      </c>
      <c r="F150" s="37">
        <f>IF(B149&lt;'Умови та класичний графік'!$J$14,E150-D150+1,"")</f>
        <v>31</v>
      </c>
      <c r="G150" s="140">
        <f>IF(B149&lt;'Умови та класичний графік'!$J$14,-(SUM(J150:L150)),"")</f>
        <v>181728.12970921036</v>
      </c>
      <c r="H150" s="140"/>
      <c r="I150" s="32">
        <f>IF(B149&lt;'Умови та класичний графік'!$J$14,I149+J150,"")</f>
        <v>9021336.9444930404</v>
      </c>
      <c r="J150" s="32">
        <f>IF(B149&lt;'Умови та класичний графік'!$J$14,PPMT($J$20/12,B150,$J$12,$J$11,0,0),"")</f>
        <v>-19742.129631151769</v>
      </c>
      <c r="K150" s="32">
        <f>IF(B149&lt;'Умови та класичний графік'!$J$14,IPMT($J$20/12,B150,$J$12,$J$11,0,0),"")</f>
        <v>-161986.0000780586</v>
      </c>
      <c r="L150" s="30">
        <f>IF(B149&lt;'Умови та класичний графік'!$J$14,-(SUM(M150:V150)),"")</f>
        <v>0</v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>
        <f>IF(B149&lt;'Умови та класичний графік'!$J$14,XIRR($G$34:G150,$C$34:C150,0),"")</f>
        <v>0.21231050292968756</v>
      </c>
      <c r="X150" s="42"/>
      <c r="Y150" s="35"/>
    </row>
    <row r="151" spans="2:25" x14ac:dyDescent="0.2">
      <c r="B151" s="25">
        <v>117</v>
      </c>
      <c r="C151" s="36">
        <f>IF(B150&lt;'Умови та класичний графік'!$J$14,EDATE(C150,1),"")</f>
        <v>47757</v>
      </c>
      <c r="D151" s="36">
        <f>IF(B150&lt;'Умови та класичний графік'!$J$14,C150,"")</f>
        <v>47727</v>
      </c>
      <c r="E151" s="26">
        <f>IF(B150&lt;'Умови та класичний графік'!$J$14,C151-1,"")</f>
        <v>47756</v>
      </c>
      <c r="F151" s="37">
        <f>IF(B150&lt;'Умови та класичний графік'!$J$14,E151-D151+1,"")</f>
        <v>30</v>
      </c>
      <c r="G151" s="140">
        <f>IF(B150&lt;'Умови та класичний графік'!$J$14,-(SUM(J151:L151)),"")</f>
        <v>181728.12970921036</v>
      </c>
      <c r="H151" s="140"/>
      <c r="I151" s="32">
        <f>IF(B150&lt;'Умови та класичний графік'!$J$14,I150+J151,"")</f>
        <v>9001241.1017059963</v>
      </c>
      <c r="J151" s="32">
        <f>IF(B150&lt;'Умови та класичний графік'!$J$14,PPMT($J$20/12,B151,$J$12,$J$11,0,0),"")</f>
        <v>-20095.842787043232</v>
      </c>
      <c r="K151" s="32">
        <f>IF(B150&lt;'Умови та класичний графік'!$J$14,IPMT($J$20/12,B151,$J$12,$J$11,0,0),"")</f>
        <v>-161632.28692216714</v>
      </c>
      <c r="L151" s="30">
        <f>IF(B150&lt;'Умови та класичний графік'!$J$14,-(SUM(M151:V151)),"")</f>
        <v>0</v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>
        <f>IF(B150&lt;'Умови та класичний графік'!$J$14,XIRR($G$34:G151,$C$34:C151,0),"")</f>
        <v>0.21330196777343757</v>
      </c>
      <c r="X151" s="42"/>
      <c r="Y151" s="35"/>
    </row>
    <row r="152" spans="2:25" x14ac:dyDescent="0.2">
      <c r="B152" s="25">
        <v>118</v>
      </c>
      <c r="C152" s="36">
        <f>IF(B151&lt;'Умови та класичний графік'!$J$14,EDATE(C151,1),"")</f>
        <v>47788</v>
      </c>
      <c r="D152" s="36">
        <f>IF(B151&lt;'Умови та класичний графік'!$J$14,C151,"")</f>
        <v>47757</v>
      </c>
      <c r="E152" s="26">
        <f>IF(B151&lt;'Умови та класичний графік'!$J$14,C152-1,"")</f>
        <v>47787</v>
      </c>
      <c r="F152" s="37">
        <f>IF(B151&lt;'Умови та класичний графік'!$J$14,E152-D152+1,"")</f>
        <v>31</v>
      </c>
      <c r="G152" s="140">
        <f>IF(B151&lt;'Умови та класичний графік'!$J$14,-(SUM(J152:L152)),"")</f>
        <v>181728.12970921039</v>
      </c>
      <c r="H152" s="140"/>
      <c r="I152" s="32">
        <f>IF(B151&lt;'Умови та класичний графік'!$J$14,I151+J152,"")</f>
        <v>8980785.2084023524</v>
      </c>
      <c r="J152" s="32">
        <f>IF(B151&lt;'Умови та класичний графік'!$J$14,PPMT($J$20/12,B152,$J$12,$J$11,0,0),"")</f>
        <v>-20455.893303644429</v>
      </c>
      <c r="K152" s="32">
        <f>IF(B151&lt;'Умови та класичний графік'!$J$14,IPMT($J$20/12,B152,$J$12,$J$11,0,0),"")</f>
        <v>-161272.23640556596</v>
      </c>
      <c r="L152" s="30">
        <f>IF(B151&lt;'Умови та класичний графік'!$J$14,-(SUM(M152:V152)),"")</f>
        <v>0</v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>
        <f>IF(B151&lt;'Умови та класичний графік'!$J$14,XIRR($G$34:G152,$C$34:C152,0),"")</f>
        <v>0.21426696777343751</v>
      </c>
      <c r="X152" s="42"/>
      <c r="Y152" s="35"/>
    </row>
    <row r="153" spans="2:25" x14ac:dyDescent="0.2">
      <c r="B153" s="25">
        <v>119</v>
      </c>
      <c r="C153" s="36">
        <f>IF(B152&lt;'Умови та класичний графік'!$J$14,EDATE(C152,1),"")</f>
        <v>47818</v>
      </c>
      <c r="D153" s="36">
        <f>IF(B152&lt;'Умови та класичний графік'!$J$14,C152,"")</f>
        <v>47788</v>
      </c>
      <c r="E153" s="26">
        <f>IF(B152&lt;'Умови та класичний графік'!$J$14,C153-1,"")</f>
        <v>47817</v>
      </c>
      <c r="F153" s="37">
        <f>IF(B152&lt;'Умови та класичний графік'!$J$14,E153-D153+1,"")</f>
        <v>30</v>
      </c>
      <c r="G153" s="140">
        <f>IF(B152&lt;'Умови та класичний графік'!$J$14,-(SUM(J153:L153)),"")</f>
        <v>181728.12970921036</v>
      </c>
      <c r="H153" s="140"/>
      <c r="I153" s="32">
        <f>IF(B152&lt;'Умови та класичний графік'!$J$14,I152+J153,"")</f>
        <v>8959962.8136770185</v>
      </c>
      <c r="J153" s="32">
        <f>IF(B152&lt;'Умови та класичний графік'!$J$14,PPMT($J$20/12,B153,$J$12,$J$11,0,0),"")</f>
        <v>-20822.394725334721</v>
      </c>
      <c r="K153" s="32">
        <f>IF(B152&lt;'Умови та класичний графік'!$J$14,IPMT($J$20/12,B153,$J$12,$J$11,0,0),"")</f>
        <v>-160905.73498387565</v>
      </c>
      <c r="L153" s="30">
        <f>IF(B152&lt;'Умови та класичний графік'!$J$14,-(SUM(M153:V153)),"")</f>
        <v>0</v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>
        <f>IF(B152&lt;'Умови та класичний графік'!$J$14,XIRR($G$34:G153,$C$34:C153,0),"")</f>
        <v>0.21520680175781254</v>
      </c>
      <c r="X153" s="42"/>
      <c r="Y153" s="35"/>
    </row>
    <row r="154" spans="2:25" x14ac:dyDescent="0.2">
      <c r="B154" s="25">
        <v>120</v>
      </c>
      <c r="C154" s="36">
        <f>IF(B153&lt;'Умови та класичний графік'!$J$14,EDATE(C153,1),"")</f>
        <v>47849</v>
      </c>
      <c r="D154" s="36">
        <f>IF(B153&lt;'Умови та класичний графік'!$J$14,C153,"")</f>
        <v>47818</v>
      </c>
      <c r="E154" s="26">
        <f>IF(B153&lt;'Умови та класичний графік'!$J$14,C154-1,"")</f>
        <v>47848</v>
      </c>
      <c r="F154" s="37">
        <f>IF(B153&lt;'Умови та класичний графік'!$J$14,E154-D154+1,"")</f>
        <v>31</v>
      </c>
      <c r="G154" s="140">
        <f>IF(B153&lt;'Умови та класичний графік'!$J$14,-(SUM(J154:L154)),"")</f>
        <v>249044.43176234895</v>
      </c>
      <c r="H154" s="140"/>
      <c r="I154" s="32">
        <f>IF(B153&lt;'Умови та класичний графік'!$J$14,I153+J154,"")</f>
        <v>8938767.3510461878</v>
      </c>
      <c r="J154" s="32">
        <f>IF(B153&lt;'Умови та класичний графік'!$J$14,PPMT($J$20/12,B154,$J$12,$J$11,0,0),"")</f>
        <v>-21195.462630830301</v>
      </c>
      <c r="K154" s="32">
        <f>IF(B153&lt;'Умови та класичний графік'!$J$14,IPMT($J$20/12,B154,$J$12,$J$11,0,0),"")</f>
        <v>-160532.66707838009</v>
      </c>
      <c r="L154" s="30">
        <f>IF(B153&lt;'Умови та класичний графік'!$J$14,-(SUM(M154:V154)),"")</f>
        <v>-67316.302053138555</v>
      </c>
      <c r="M154" s="38"/>
      <c r="N154" s="39"/>
      <c r="O154" s="39"/>
      <c r="P154" s="32"/>
      <c r="Q154" s="40"/>
      <c r="R154" s="40"/>
      <c r="S154" s="41"/>
      <c r="T154" s="41"/>
      <c r="U154" s="33">
        <f>IF(B153&lt;'Умови та класичний графік'!$J$14,('Умови та класичний графік'!$J$15*$N$18)+(I154*$N$19),"")</f>
        <v>67316.302053138555</v>
      </c>
      <c r="V154" s="41"/>
      <c r="W154" s="43">
        <f>IF(B153&lt;'Умови та класичний графік'!$J$14,XIRR($G$34:G154,$C$34:C154,0),"")</f>
        <v>0.21645832519531255</v>
      </c>
      <c r="X154" s="42"/>
      <c r="Y154" s="35"/>
    </row>
    <row r="155" spans="2:25" x14ac:dyDescent="0.2">
      <c r="B155" s="25">
        <v>121</v>
      </c>
      <c r="C155" s="36">
        <f>IF(B154&lt;'Умови та класичний графік'!$J$14,EDATE(C154,1),"")</f>
        <v>47880</v>
      </c>
      <c r="D155" s="36">
        <f>IF(B154&lt;'Умови та класичний графік'!$J$14,C154,"")</f>
        <v>47849</v>
      </c>
      <c r="E155" s="26">
        <f>IF(B154&lt;'Умови та класичний графік'!$J$14,C155-1,"")</f>
        <v>47879</v>
      </c>
      <c r="F155" s="37">
        <f>IF(B154&lt;'Умови та класичний графік'!$J$14,E155-D155+1,"")</f>
        <v>31</v>
      </c>
      <c r="G155" s="140">
        <f>IF(B154&lt;'Умови та класичний графік'!$J$14,-(SUM(J155:L155)),"")</f>
        <v>181728.12970921036</v>
      </c>
      <c r="H155" s="140"/>
      <c r="I155" s="32">
        <f>IF(B154&lt;'Умови та класичний графік'!$J$14,I154+J155,"")</f>
        <v>8917192.136376556</v>
      </c>
      <c r="J155" s="32">
        <f>IF(B154&lt;'Умови та класичний графік'!$J$14,PPMT($J$20/12,B155,$J$12,$J$11,0,0),"")</f>
        <v>-21575.214669632674</v>
      </c>
      <c r="K155" s="32">
        <f>IF(B154&lt;'Умови та класичний графік'!$J$14,IPMT($J$20/12,B155,$J$12,$J$11,0,0),"")</f>
        <v>-160152.9150395777</v>
      </c>
      <c r="L155" s="30">
        <f>IF(B154&lt;'Умови та класичний графік'!$J$14,-(SUM(M155:V155)),"")</f>
        <v>0</v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>
        <f>IF(B154&lt;'Умови та класичний графік'!$J$14,XIRR($G$34:G155,$C$34:C155,0),"")</f>
        <v>0.21734582519531254</v>
      </c>
      <c r="X155" s="42"/>
      <c r="Y155" s="35"/>
    </row>
    <row r="156" spans="2:25" x14ac:dyDescent="0.2">
      <c r="B156" s="25">
        <v>122</v>
      </c>
      <c r="C156" s="36">
        <f>IF(B155&lt;'Умови та класичний графік'!$J$14,EDATE(C155,1),"")</f>
        <v>47908</v>
      </c>
      <c r="D156" s="36">
        <f>IF(B155&lt;'Умови та класичний графік'!$J$14,C155,"")</f>
        <v>47880</v>
      </c>
      <c r="E156" s="26">
        <f>IF(B155&lt;'Умови та класичний графік'!$J$14,C156-1,"")</f>
        <v>47907</v>
      </c>
      <c r="F156" s="37">
        <f>IF(B155&lt;'Умови та класичний графік'!$J$14,E156-D156+1,"")</f>
        <v>28</v>
      </c>
      <c r="G156" s="140">
        <f>IF(B155&lt;'Умови та класичний графік'!$J$14,-(SUM(J156:L156)),"")</f>
        <v>181728.12970921036</v>
      </c>
      <c r="H156" s="140"/>
      <c r="I156" s="32">
        <f>IF(B155&lt;'Умови та класичний графік'!$J$14,I155+J156,"")</f>
        <v>8895230.3657774255</v>
      </c>
      <c r="J156" s="32">
        <f>IF(B155&lt;'Умови та класичний графік'!$J$14,PPMT($J$20/12,B156,$J$12,$J$11,0,0),"")</f>
        <v>-21961.770599130265</v>
      </c>
      <c r="K156" s="32">
        <f>IF(B155&lt;'Умови та класичний графік'!$J$14,IPMT($J$20/12,B156,$J$12,$J$11,0,0),"")</f>
        <v>-159766.35911008011</v>
      </c>
      <c r="L156" s="30">
        <f>IF(B155&lt;'Умови та класичний графік'!$J$14,-(SUM(M156:V156)),"")</f>
        <v>0</v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>
        <f>IF(B155&lt;'Умови та класичний графік'!$J$14,XIRR($G$34:G156,$C$34:C156,0),"")</f>
        <v>0.21821143066406251</v>
      </c>
      <c r="X156" s="42"/>
      <c r="Y156" s="35"/>
    </row>
    <row r="157" spans="2:25" x14ac:dyDescent="0.2">
      <c r="B157" s="25">
        <v>123</v>
      </c>
      <c r="C157" s="36">
        <f>IF(B156&lt;'Умови та класичний графік'!$J$14,EDATE(C156,1),"")</f>
        <v>47939</v>
      </c>
      <c r="D157" s="36">
        <f>IF(B156&lt;'Умови та класичний графік'!$J$14,C156,"")</f>
        <v>47908</v>
      </c>
      <c r="E157" s="26">
        <f>IF(B156&lt;'Умови та класичний графік'!$J$14,C157-1,"")</f>
        <v>47938</v>
      </c>
      <c r="F157" s="37">
        <f>IF(B156&lt;'Умови та класичний графік'!$J$14,E157-D157+1,"")</f>
        <v>31</v>
      </c>
      <c r="G157" s="140">
        <f>IF(B156&lt;'Умови та класичний графік'!$J$14,-(SUM(J157:L157)),"")</f>
        <v>181728.12970921039</v>
      </c>
      <c r="H157" s="140"/>
      <c r="I157" s="32">
        <f>IF(B156&lt;'Умови та класичний графік'!$J$14,I156+J157,"")</f>
        <v>8872875.1134550609</v>
      </c>
      <c r="J157" s="32">
        <f>IF(B156&lt;'Умови та класичний графік'!$J$14,PPMT($J$20/12,B157,$J$12,$J$11,0,0),"")</f>
        <v>-22355.252322364679</v>
      </c>
      <c r="K157" s="32">
        <f>IF(B156&lt;'Умови та класичний графік'!$J$14,IPMT($J$20/12,B157,$J$12,$J$11,0,0),"")</f>
        <v>-159372.87738684571</v>
      </c>
      <c r="L157" s="30">
        <f>IF(B156&lt;'Умови та класичний графік'!$J$14,-(SUM(M157:V157)),"")</f>
        <v>0</v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>
        <f>IF(B156&lt;'Умови та класичний графік'!$J$14,XIRR($G$34:G157,$C$34:C157,0),"")</f>
        <v>0.21905441894531247</v>
      </c>
      <c r="X157" s="42"/>
      <c r="Y157" s="35"/>
    </row>
    <row r="158" spans="2:25" x14ac:dyDescent="0.2">
      <c r="B158" s="25">
        <v>124</v>
      </c>
      <c r="C158" s="36">
        <f>IF(B157&lt;'Умови та класичний графік'!$J$14,EDATE(C157,1),"")</f>
        <v>47969</v>
      </c>
      <c r="D158" s="36">
        <f>IF(B157&lt;'Умови та класичний графік'!$J$14,C157,"")</f>
        <v>47939</v>
      </c>
      <c r="E158" s="26">
        <f>IF(B157&lt;'Умови та класичний графік'!$J$14,C158-1,"")</f>
        <v>47968</v>
      </c>
      <c r="F158" s="37">
        <f>IF(B157&lt;'Умови та класичний графік'!$J$14,E158-D158+1,"")</f>
        <v>30</v>
      </c>
      <c r="G158" s="140">
        <f>IF(B157&lt;'Умови та класичний графік'!$J$14,-(SUM(J158:L158)),"")</f>
        <v>181728.12970921042</v>
      </c>
      <c r="H158" s="140"/>
      <c r="I158" s="32">
        <f>IF(B157&lt;'Умови та класичний графік'!$J$14,I157+J158,"")</f>
        <v>8850119.3295285869</v>
      </c>
      <c r="J158" s="32">
        <f>IF(B157&lt;'Умови та класичний графік'!$J$14,PPMT($J$20/12,B158,$J$12,$J$11,0,0),"")</f>
        <v>-22755.783926473712</v>
      </c>
      <c r="K158" s="32">
        <f>IF(B157&lt;'Умови та класичний графік'!$J$14,IPMT($J$20/12,B158,$J$12,$J$11,0,0),"")</f>
        <v>-158972.34578273669</v>
      </c>
      <c r="L158" s="30">
        <f>IF(B157&lt;'Умови та класичний графік'!$J$14,-(SUM(M158:V158)),"")</f>
        <v>0</v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>
        <f>IF(B157&lt;'Умови та класичний графік'!$J$14,XIRR($G$34:G158,$C$34:C158,0),"")</f>
        <v>0.21987589355468751</v>
      </c>
      <c r="X158" s="42"/>
      <c r="Y158" s="35"/>
    </row>
    <row r="159" spans="2:25" x14ac:dyDescent="0.2">
      <c r="B159" s="25">
        <v>125</v>
      </c>
      <c r="C159" s="36">
        <f>IF(B158&lt;'Умови та класичний графік'!$J$14,EDATE(C158,1),"")</f>
        <v>48000</v>
      </c>
      <c r="D159" s="36">
        <f>IF(B158&lt;'Умови та класичний графік'!$J$14,C158,"")</f>
        <v>47969</v>
      </c>
      <c r="E159" s="26">
        <f>IF(B158&lt;'Умови та класичний графік'!$J$14,C159-1,"")</f>
        <v>47999</v>
      </c>
      <c r="F159" s="37">
        <f>IF(B158&lt;'Умови та класичний графік'!$J$14,E159-D159+1,"")</f>
        <v>31</v>
      </c>
      <c r="G159" s="140">
        <f>IF(B158&lt;'Умови та класичний графік'!$J$14,-(SUM(J159:L159)),"")</f>
        <v>181728.12970921039</v>
      </c>
      <c r="H159" s="140"/>
      <c r="I159" s="32">
        <f>IF(B158&lt;'Умови та класичний графік'!$J$14,I158+J159,"")</f>
        <v>8826955.8378067631</v>
      </c>
      <c r="J159" s="32">
        <f>IF(B158&lt;'Умови та класичний графік'!$J$14,PPMT($J$20/12,B159,$J$12,$J$11,0,0),"")</f>
        <v>-23163.491721823037</v>
      </c>
      <c r="K159" s="32">
        <f>IF(B158&lt;'Умови та класичний графік'!$J$14,IPMT($J$20/12,B159,$J$12,$J$11,0,0),"")</f>
        <v>-158564.63798738737</v>
      </c>
      <c r="L159" s="30">
        <f>IF(B158&lt;'Умови та класичний графік'!$J$14,-(SUM(M159:V159)),"")</f>
        <v>0</v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>
        <f>IF(B158&lt;'Умови та класичний графік'!$J$14,XIRR($G$34:G159,$C$34:C159,0),"")</f>
        <v>0.2206760595703125</v>
      </c>
      <c r="X159" s="42"/>
      <c r="Y159" s="35"/>
    </row>
    <row r="160" spans="2:25" x14ac:dyDescent="0.2">
      <c r="B160" s="25">
        <v>126</v>
      </c>
      <c r="C160" s="36">
        <f>IF(B159&lt;'Умови та класичний графік'!$J$14,EDATE(C159,1),"")</f>
        <v>48030</v>
      </c>
      <c r="D160" s="36">
        <f>IF(B159&lt;'Умови та класичний графік'!$J$14,C159,"")</f>
        <v>48000</v>
      </c>
      <c r="E160" s="26">
        <f>IF(B159&lt;'Умови та класичний графік'!$J$14,C160-1,"")</f>
        <v>48029</v>
      </c>
      <c r="F160" s="37">
        <f>IF(B159&lt;'Умови та класичний графік'!$J$14,E160-D160+1,"")</f>
        <v>30</v>
      </c>
      <c r="G160" s="140">
        <f>IF(B159&lt;'Умови та класичний графік'!$J$14,-(SUM(J160:L160)),"")</f>
        <v>181728.12970921039</v>
      </c>
      <c r="H160" s="140"/>
      <c r="I160" s="32">
        <f>IF(B159&lt;'Умови та класичний графік'!$J$14,I159+J160,"")</f>
        <v>8803377.3335249238</v>
      </c>
      <c r="J160" s="32">
        <f>IF(B159&lt;'Умови та класичний графік'!$J$14,PPMT($J$20/12,B160,$J$12,$J$11,0,0),"")</f>
        <v>-23578.504281839032</v>
      </c>
      <c r="K160" s="32">
        <f>IF(B159&lt;'Умови та класичний графік'!$J$14,IPMT($J$20/12,B160,$J$12,$J$11,0,0),"")</f>
        <v>-158149.62542737136</v>
      </c>
      <c r="L160" s="30">
        <f>IF(B159&lt;'Умови та класичний графік'!$J$14,-(SUM(M160:V160)),"")</f>
        <v>0</v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>
        <f>IF(B159&lt;'Умови та класичний графік'!$J$14,XIRR($G$34:G160,$C$34:C160,0),"")</f>
        <v>0.22145598144531253</v>
      </c>
      <c r="X160" s="42"/>
      <c r="Y160" s="35"/>
    </row>
    <row r="161" spans="2:25" x14ac:dyDescent="0.2">
      <c r="B161" s="25">
        <v>127</v>
      </c>
      <c r="C161" s="36">
        <f>IF(B160&lt;'Умови та класичний графік'!$J$14,EDATE(C160,1),"")</f>
        <v>48061</v>
      </c>
      <c r="D161" s="36">
        <f>IF(B160&lt;'Умови та класичний графік'!$J$14,C160,"")</f>
        <v>48030</v>
      </c>
      <c r="E161" s="26">
        <f>IF(B160&lt;'Умови та класичний графік'!$J$14,C161-1,"")</f>
        <v>48060</v>
      </c>
      <c r="F161" s="37">
        <f>IF(B160&lt;'Умови та класичний графік'!$J$14,E161-D161+1,"")</f>
        <v>31</v>
      </c>
      <c r="G161" s="140">
        <f>IF(B160&lt;'Умови та класичний графік'!$J$14,-(SUM(J161:L161)),"")</f>
        <v>181728.12970921036</v>
      </c>
      <c r="H161" s="140"/>
      <c r="I161" s="32">
        <f>IF(B160&lt;'Умови та класичний графік'!$J$14,I160+J161,"")</f>
        <v>8779376.3810413685</v>
      </c>
      <c r="J161" s="32">
        <f>IF(B160&lt;'Умови та класичний графік'!$J$14,PPMT($J$20/12,B161,$J$12,$J$11,0,0),"")</f>
        <v>-24000.952483555313</v>
      </c>
      <c r="K161" s="32">
        <f>IF(B160&lt;'Умови та класичний графік'!$J$14,IPMT($J$20/12,B161,$J$12,$J$11,0,0),"")</f>
        <v>-157727.17722565506</v>
      </c>
      <c r="L161" s="30">
        <f>IF(B160&lt;'Умови та класичний графік'!$J$14,-(SUM(M161:V161)),"")</f>
        <v>0</v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>
        <f>IF(B160&lt;'Умови та класичний графік'!$J$14,XIRR($G$34:G161,$C$34:C161,0),"")</f>
        <v>0.22221582519531252</v>
      </c>
      <c r="X161" s="42"/>
      <c r="Y161" s="35"/>
    </row>
    <row r="162" spans="2:25" x14ac:dyDescent="0.2">
      <c r="B162" s="25">
        <v>128</v>
      </c>
      <c r="C162" s="36">
        <f>IF(B161&lt;'Умови та класичний графік'!$J$14,EDATE(C161,1),"")</f>
        <v>48092</v>
      </c>
      <c r="D162" s="36">
        <f>IF(B161&lt;'Умови та класичний графік'!$J$14,C161,"")</f>
        <v>48061</v>
      </c>
      <c r="E162" s="26">
        <f>IF(B161&lt;'Умови та класичний графік'!$J$14,C162-1,"")</f>
        <v>48091</v>
      </c>
      <c r="F162" s="37">
        <f>IF(B161&lt;'Умови та класичний графік'!$J$14,E162-D162+1,"")</f>
        <v>31</v>
      </c>
      <c r="G162" s="140">
        <f>IF(B161&lt;'Умови та класичний графік'!$J$14,-(SUM(J162:L162)),"")</f>
        <v>181728.12970921036</v>
      </c>
      <c r="H162" s="140"/>
      <c r="I162" s="32">
        <f>IF(B161&lt;'Умови та класичний графік'!$J$14,I161+J162,"")</f>
        <v>8754945.4114924837</v>
      </c>
      <c r="J162" s="32">
        <f>IF(B161&lt;'Умови та класичний графік'!$J$14,PPMT($J$20/12,B162,$J$12,$J$11,0,0),"")</f>
        <v>-24430.969548885685</v>
      </c>
      <c r="K162" s="32">
        <f>IF(B161&lt;'Умови та класичний графік'!$J$14,IPMT($J$20/12,B162,$J$12,$J$11,0,0),"")</f>
        <v>-157297.16016032468</v>
      </c>
      <c r="L162" s="30">
        <f>IF(B161&lt;'Умови та класичний графік'!$J$14,-(SUM(M162:V162)),"")</f>
        <v>0</v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>
        <f>IF(B161&lt;'Умови та класичний графік'!$J$14,XIRR($G$34:G162,$C$34:C162,0),"")</f>
        <v>0.22295617675781254</v>
      </c>
      <c r="X162" s="42"/>
      <c r="Y162" s="35"/>
    </row>
    <row r="163" spans="2:25" x14ac:dyDescent="0.2">
      <c r="B163" s="25">
        <v>129</v>
      </c>
      <c r="C163" s="36">
        <f>IF(B162&lt;'Умови та класичний графік'!$J$14,EDATE(C162,1),"")</f>
        <v>48122</v>
      </c>
      <c r="D163" s="36">
        <f>IF(B162&lt;'Умови та класичний графік'!$J$14,C162,"")</f>
        <v>48092</v>
      </c>
      <c r="E163" s="26">
        <f>IF(B162&lt;'Умови та класичний графік'!$J$14,C163-1,"")</f>
        <v>48121</v>
      </c>
      <c r="F163" s="37">
        <f>IF(B162&lt;'Умови та класичний графік'!$J$14,E163-D163+1,"")</f>
        <v>30</v>
      </c>
      <c r="G163" s="140">
        <f>IF(B162&lt;'Умови та класичний графік'!$J$14,-(SUM(J163:L163)),"")</f>
        <v>181728.12970921039</v>
      </c>
      <c r="H163" s="140"/>
      <c r="I163" s="32">
        <f>IF(B162&lt;'Умови та класичний графік'!$J$14,I162+J163,"")</f>
        <v>8730076.7204058468</v>
      </c>
      <c r="J163" s="32">
        <f>IF(B162&lt;'Умови та класичний графік'!$J$14,PPMT($J$20/12,B163,$J$12,$J$11,0,0),"")</f>
        <v>-24868.691086636554</v>
      </c>
      <c r="K163" s="32">
        <f>IF(B162&lt;'Умови та класичний графік'!$J$14,IPMT($J$20/12,B163,$J$12,$J$11,0,0),"")</f>
        <v>-156859.43862257383</v>
      </c>
      <c r="L163" s="30">
        <f>IF(B162&lt;'Умови та класичний графік'!$J$14,-(SUM(M163:V163)),"")</f>
        <v>0</v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>
        <f>IF(B162&lt;'Умови та класичний графік'!$J$14,XIRR($G$34:G163,$C$34:C163,0),"")</f>
        <v>0.22367801269531251</v>
      </c>
      <c r="X163" s="42"/>
      <c r="Y163" s="35"/>
    </row>
    <row r="164" spans="2:25" x14ac:dyDescent="0.2">
      <c r="B164" s="25">
        <v>130</v>
      </c>
      <c r="C164" s="36">
        <f>IF(B163&lt;'Умови та класичний графік'!$J$14,EDATE(C163,1),"")</f>
        <v>48153</v>
      </c>
      <c r="D164" s="36">
        <f>IF(B163&lt;'Умови та класичний графік'!$J$14,C163,"")</f>
        <v>48122</v>
      </c>
      <c r="E164" s="26">
        <f>IF(B163&lt;'Умови та класичний графік'!$J$14,C164-1,"")</f>
        <v>48152</v>
      </c>
      <c r="F164" s="37">
        <f>IF(B163&lt;'Умови та класичний графік'!$J$14,E164-D164+1,"")</f>
        <v>31</v>
      </c>
      <c r="G164" s="140">
        <f>IF(B163&lt;'Умови та класичний графік'!$J$14,-(SUM(J164:L164)),"")</f>
        <v>181728.12970921036</v>
      </c>
      <c r="H164" s="140"/>
      <c r="I164" s="32">
        <f>IF(B163&lt;'Умови та класичний графік'!$J$14,I163+J164,"")</f>
        <v>8704762.4652705751</v>
      </c>
      <c r="J164" s="32">
        <f>IF(B163&lt;'Умови та класичний графік'!$J$14,PPMT($J$20/12,B164,$J$12,$J$11,0,0),"")</f>
        <v>-25314.25513527212</v>
      </c>
      <c r="K164" s="32">
        <f>IF(B163&lt;'Умови та класичний графік'!$J$14,IPMT($J$20/12,B164,$J$12,$J$11,0,0),"")</f>
        <v>-156413.87457393826</v>
      </c>
      <c r="L164" s="30">
        <f>IF(B163&lt;'Умови та класичний графік'!$J$14,-(SUM(M164:V164)),"")</f>
        <v>0</v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>
        <f>IF(B163&lt;'Умови та класичний графік'!$J$14,XIRR($G$34:G164,$C$34:C164,0),"")</f>
        <v>0.22438146972656253</v>
      </c>
      <c r="X164" s="42"/>
      <c r="Y164" s="35"/>
    </row>
    <row r="165" spans="2:25" x14ac:dyDescent="0.2">
      <c r="B165" s="25">
        <v>131</v>
      </c>
      <c r="C165" s="36">
        <f>IF(B164&lt;'Умови та класичний графік'!$J$14,EDATE(C164,1),"")</f>
        <v>48183</v>
      </c>
      <c r="D165" s="36">
        <f>IF(B164&lt;'Умови та класичний графік'!$J$14,C164,"")</f>
        <v>48153</v>
      </c>
      <c r="E165" s="26">
        <f>IF(B164&lt;'Умови та класичний графік'!$J$14,C165-1,"")</f>
        <v>48182</v>
      </c>
      <c r="F165" s="37">
        <f>IF(B164&lt;'Умови та класичний графік'!$J$14,E165-D165+1,"")</f>
        <v>30</v>
      </c>
      <c r="G165" s="140">
        <f>IF(B164&lt;'Умови та класичний графік'!$J$14,-(SUM(J165:L165)),"")</f>
        <v>181728.12970921036</v>
      </c>
      <c r="H165" s="140"/>
      <c r="I165" s="32">
        <f>IF(B164&lt;'Умови та класичний графік'!$J$14,I164+J165,"")</f>
        <v>8678994.6630641297</v>
      </c>
      <c r="J165" s="32">
        <f>IF(B164&lt;'Умови та класичний графік'!$J$14,PPMT($J$20/12,B165,$J$12,$J$11,0,0),"")</f>
        <v>-25767.802206445747</v>
      </c>
      <c r="K165" s="32">
        <f>IF(B164&lt;'Умови та класичний графік'!$J$14,IPMT($J$20/12,B165,$J$12,$J$11,0,0),"")</f>
        <v>-155960.32750276462</v>
      </c>
      <c r="L165" s="30">
        <f>IF(B164&lt;'Умови та класичний графік'!$J$14,-(SUM(M165:V165)),"")</f>
        <v>0</v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>
        <f>IF(B164&lt;'Умови та класичний графік'!$J$14,XIRR($G$34:G165,$C$34:C165,0),"")</f>
        <v>0.22506746582031251</v>
      </c>
      <c r="X165" s="42"/>
      <c r="Y165" s="35"/>
    </row>
    <row r="166" spans="2:25" x14ac:dyDescent="0.2">
      <c r="B166" s="25">
        <v>132</v>
      </c>
      <c r="C166" s="36">
        <f>IF(B165&lt;'Умови та класичний графік'!$J$14,EDATE(C165,1),"")</f>
        <v>48214</v>
      </c>
      <c r="D166" s="36">
        <f>IF(B165&lt;'Умови та класичний графік'!$J$14,C165,"")</f>
        <v>48183</v>
      </c>
      <c r="E166" s="26">
        <f>IF(B165&lt;'Умови та класичний графік'!$J$14,C166-1,"")</f>
        <v>48213</v>
      </c>
      <c r="F166" s="37">
        <f>IF(B165&lt;'Умови та класичний графік'!$J$14,E166-D166+1,"")</f>
        <v>31</v>
      </c>
      <c r="G166" s="140">
        <f>IF(B165&lt;'Умови та класичний графік'!$J$14,-(SUM(J166:L166)),"")</f>
        <v>248186.42527241481</v>
      </c>
      <c r="H166" s="140"/>
      <c r="I166" s="32">
        <f>IF(B165&lt;'Умови та класичний графік'!$J$14,I165+J166,"")</f>
        <v>8652765.1877348181</v>
      </c>
      <c r="J166" s="32">
        <f>IF(B165&lt;'Умови та класичний графік'!$J$14,PPMT($J$20/12,B166,$J$12,$J$11,0,0),"")</f>
        <v>-26229.475329311237</v>
      </c>
      <c r="K166" s="32">
        <f>IF(B165&lt;'Умови та класичний графік'!$J$14,IPMT($J$20/12,B166,$J$12,$J$11,0,0),"")</f>
        <v>-155498.65437989912</v>
      </c>
      <c r="L166" s="30">
        <f>IF(B165&lt;'Умови та класичний графік'!$J$14,-(SUM(M166:V166)),"")</f>
        <v>-66458.295563204447</v>
      </c>
      <c r="M166" s="38"/>
      <c r="N166" s="39"/>
      <c r="O166" s="39"/>
      <c r="P166" s="32"/>
      <c r="Q166" s="40"/>
      <c r="R166" s="40"/>
      <c r="S166" s="41"/>
      <c r="T166" s="41"/>
      <c r="U166" s="33">
        <f>IF(B165&lt;'Умови та класичний графік'!$J$14,('Умови та класичний графік'!$J$15*$N$18)+(I166*$N$19),"")</f>
        <v>66458.295563204447</v>
      </c>
      <c r="V166" s="41"/>
      <c r="W166" s="43">
        <f>IF(B165&lt;'Умови та класичний графік'!$J$14,XIRR($G$34:G166,$C$34:C166,0),"")</f>
        <v>0.22597927246093757</v>
      </c>
      <c r="X166" s="42"/>
      <c r="Y166" s="35"/>
    </row>
    <row r="167" spans="2:25" x14ac:dyDescent="0.2">
      <c r="B167" s="25">
        <v>133</v>
      </c>
      <c r="C167" s="36">
        <f>IF(B166&lt;'Умови та класичний графік'!$J$14,EDATE(C166,1),"")</f>
        <v>48245</v>
      </c>
      <c r="D167" s="36">
        <f>IF(B166&lt;'Умови та класичний графік'!$J$14,C166,"")</f>
        <v>48214</v>
      </c>
      <c r="E167" s="26">
        <f>IF(B166&lt;'Умови та класичний графік'!$J$14,C167-1,"")</f>
        <v>48244</v>
      </c>
      <c r="F167" s="37">
        <f>IF(B166&lt;'Умови та класичний графік'!$J$14,E167-D167+1,"")</f>
        <v>31</v>
      </c>
      <c r="G167" s="140">
        <f>IF(B166&lt;'Умови та класичний графік'!$J$14,-(SUM(J167:L167)),"")</f>
        <v>181728.12970921036</v>
      </c>
      <c r="H167" s="140"/>
      <c r="I167" s="32">
        <f>IF(B166&lt;'Умови та класичний графік'!$J$14,I166+J167,"")</f>
        <v>8626065.76763919</v>
      </c>
      <c r="J167" s="32">
        <f>IF(B166&lt;'Умови та класичний графік'!$J$14,PPMT($J$20/12,B167,$J$12,$J$11,0,0),"")</f>
        <v>-26699.420095628062</v>
      </c>
      <c r="K167" s="32">
        <f>IF(B166&lt;'Умови та класичний графік'!$J$14,IPMT($J$20/12,B167,$J$12,$J$11,0,0),"")</f>
        <v>-155028.70961358229</v>
      </c>
      <c r="L167" s="30">
        <f>IF(B166&lt;'Умови та класичний графік'!$J$14,-(SUM(M167:V167)),"")</f>
        <v>0</v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>
        <f>IF(B166&lt;'Умови та класичний графік'!$J$14,XIRR($G$34:G167,$C$34:C167,0),"")</f>
        <v>0.22662912597656254</v>
      </c>
      <c r="X167" s="42"/>
      <c r="Y167" s="35"/>
    </row>
    <row r="168" spans="2:25" x14ac:dyDescent="0.2">
      <c r="B168" s="25">
        <v>134</v>
      </c>
      <c r="C168" s="36">
        <f>IF(B167&lt;'Умови та класичний графік'!$J$14,EDATE(C167,1),"")</f>
        <v>48274</v>
      </c>
      <c r="D168" s="36">
        <f>IF(B167&lt;'Умови та класичний графік'!$J$14,C167,"")</f>
        <v>48245</v>
      </c>
      <c r="E168" s="26">
        <f>IF(B167&lt;'Умови та класичний графік'!$J$14,C168-1,"")</f>
        <v>48273</v>
      </c>
      <c r="F168" s="37">
        <f>IF(B167&lt;'Умови та класичний графік'!$J$14,E168-D168+1,"")</f>
        <v>29</v>
      </c>
      <c r="G168" s="140">
        <f>IF(B167&lt;'Умови та класичний графік'!$J$14,-(SUM(J168:L168)),"")</f>
        <v>181728.12970921036</v>
      </c>
      <c r="H168" s="140"/>
      <c r="I168" s="32">
        <f>IF(B167&lt;'Умови та класичний графік'!$J$14,I167+J168,"")</f>
        <v>8598887.9829335157</v>
      </c>
      <c r="J168" s="32">
        <f>IF(B167&lt;'Умови та класичний графік'!$J$14,PPMT($J$20/12,B168,$J$12,$J$11,0,0),"")</f>
        <v>-27177.784705674727</v>
      </c>
      <c r="K168" s="32">
        <f>IF(B167&lt;'Умови та класичний графік'!$J$14,IPMT($J$20/12,B168,$J$12,$J$11,0,0),"")</f>
        <v>-154550.34500353562</v>
      </c>
      <c r="L168" s="30">
        <f>IF(B167&lt;'Умови та класичний графік'!$J$14,-(SUM(M168:V168)),"")</f>
        <v>0</v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>
        <f>IF(B167&lt;'Умови та класичний графік'!$J$14,XIRR($G$34:G168,$C$34:C168,0),"")</f>
        <v>0.22726338378906252</v>
      </c>
      <c r="X168" s="42"/>
      <c r="Y168" s="35"/>
    </row>
    <row r="169" spans="2:25" x14ac:dyDescent="0.2">
      <c r="B169" s="25">
        <v>135</v>
      </c>
      <c r="C169" s="36">
        <f>IF(B168&lt;'Умови та класичний графік'!$J$14,EDATE(C168,1),"")</f>
        <v>48305</v>
      </c>
      <c r="D169" s="36">
        <f>IF(B168&lt;'Умови та класичний графік'!$J$14,C168,"")</f>
        <v>48274</v>
      </c>
      <c r="E169" s="26">
        <f>IF(B168&lt;'Умови та класичний графік'!$J$14,C169-1,"")</f>
        <v>48304</v>
      </c>
      <c r="F169" s="37">
        <f>IF(B168&lt;'Умови та класичний графік'!$J$14,E169-D169+1,"")</f>
        <v>31</v>
      </c>
      <c r="G169" s="140">
        <f>IF(B168&lt;'Умови та класичний графік'!$J$14,-(SUM(J169:L169)),"")</f>
        <v>181728.12970921036</v>
      </c>
      <c r="H169" s="140"/>
      <c r="I169" s="32">
        <f>IF(B168&lt;'Умови та класичний графік'!$J$14,I168+J169,"")</f>
        <v>8571223.26291853</v>
      </c>
      <c r="J169" s="32">
        <f>IF(B168&lt;'Умови та класичний графік'!$J$14,PPMT($J$20/12,B169,$J$12,$J$11,0,0),"")</f>
        <v>-27664.720014984734</v>
      </c>
      <c r="K169" s="32">
        <f>IF(B168&lt;'Умови та класичний графік'!$J$14,IPMT($J$20/12,B169,$J$12,$J$11,0,0),"")</f>
        <v>-154063.40969422564</v>
      </c>
      <c r="L169" s="30">
        <f>IF(B168&lt;'Умови та класичний графік'!$J$14,-(SUM(M169:V169)),"")</f>
        <v>0</v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>
        <f>IF(B168&lt;'Умови та класичний графік'!$J$14,XIRR($G$34:G169,$C$34:C169,0),"")</f>
        <v>0.22788179199218755</v>
      </c>
      <c r="X169" s="42"/>
      <c r="Y169" s="35"/>
    </row>
    <row r="170" spans="2:25" x14ac:dyDescent="0.2">
      <c r="B170" s="25">
        <v>136</v>
      </c>
      <c r="C170" s="36">
        <f>IF(B169&lt;'Умови та класичний графік'!$J$14,EDATE(C169,1),"")</f>
        <v>48335</v>
      </c>
      <c r="D170" s="36">
        <f>IF(B169&lt;'Умови та класичний графік'!$J$14,C169,"")</f>
        <v>48305</v>
      </c>
      <c r="E170" s="26">
        <f>IF(B169&lt;'Умови та класичний графік'!$J$14,C170-1,"")</f>
        <v>48334</v>
      </c>
      <c r="F170" s="37">
        <f>IF(B169&lt;'Умови та класичний графік'!$J$14,E170-D170+1,"")</f>
        <v>30</v>
      </c>
      <c r="G170" s="140">
        <f>IF(B169&lt;'Умови та класичний графік'!$J$14,-(SUM(J170:L170)),"")</f>
        <v>181728.12970921036</v>
      </c>
      <c r="H170" s="140"/>
      <c r="I170" s="32">
        <f>IF(B169&lt;'Умови та класичний графік'!$J$14,I169+J170,"")</f>
        <v>8543062.8833366092</v>
      </c>
      <c r="J170" s="32">
        <f>IF(B169&lt;'Умови та класичний графік'!$J$14,PPMT($J$20/12,B170,$J$12,$J$11,0,0),"")</f>
        <v>-28160.379581919882</v>
      </c>
      <c r="K170" s="32">
        <f>IF(B169&lt;'Умови та класичний графік'!$J$14,IPMT($J$20/12,B170,$J$12,$J$11,0,0),"")</f>
        <v>-153567.75012729049</v>
      </c>
      <c r="L170" s="30">
        <f>IF(B169&lt;'Умови та класичний графік'!$J$14,-(SUM(M170:V170)),"")</f>
        <v>0</v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>
        <f>IF(B169&lt;'Умови та класичний графік'!$J$14,XIRR($G$34:G170,$C$34:C170,0),"")</f>
        <v>0.22848512207031252</v>
      </c>
      <c r="X170" s="42"/>
      <c r="Y170" s="35"/>
    </row>
    <row r="171" spans="2:25" x14ac:dyDescent="0.2">
      <c r="B171" s="25">
        <v>137</v>
      </c>
      <c r="C171" s="36">
        <f>IF(B170&lt;'Умови та класичний графік'!$J$14,EDATE(C170,1),"")</f>
        <v>48366</v>
      </c>
      <c r="D171" s="36">
        <f>IF(B170&lt;'Умови та класичний графік'!$J$14,C170,"")</f>
        <v>48335</v>
      </c>
      <c r="E171" s="26">
        <f>IF(B170&lt;'Умови та класичний графік'!$J$14,C171-1,"")</f>
        <v>48365</v>
      </c>
      <c r="F171" s="37">
        <f>IF(B170&lt;'Умови та класичний графік'!$J$14,E171-D171+1,"")</f>
        <v>31</v>
      </c>
      <c r="G171" s="140">
        <f>IF(B170&lt;'Умови та класичний графік'!$J$14,-(SUM(J171:L171)),"")</f>
        <v>181728.12970921036</v>
      </c>
      <c r="H171" s="140"/>
      <c r="I171" s="32">
        <f>IF(B170&lt;'Умови та класичний графік'!$J$14,I170+J171,"")</f>
        <v>8514397.9636205137</v>
      </c>
      <c r="J171" s="32">
        <f>IF(B170&lt;'Умови та класичний графік'!$J$14,PPMT($J$20/12,B171,$J$12,$J$11,0,0),"")</f>
        <v>-28664.919716095941</v>
      </c>
      <c r="K171" s="32">
        <f>IF(B170&lt;'Умови та класичний графік'!$J$14,IPMT($J$20/12,B171,$J$12,$J$11,0,0),"")</f>
        <v>-153063.20999311443</v>
      </c>
      <c r="L171" s="30">
        <f>IF(B170&lt;'Умови та класичний графік'!$J$14,-(SUM(M171:V171)),"")</f>
        <v>0</v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>
        <f>IF(B170&lt;'Умови та класичний графік'!$J$14,XIRR($G$34:G171,$C$34:C171,0),"")</f>
        <v>0.22907347167968761</v>
      </c>
      <c r="X171" s="42"/>
      <c r="Y171" s="35"/>
    </row>
    <row r="172" spans="2:25" x14ac:dyDescent="0.2">
      <c r="B172" s="25">
        <v>138</v>
      </c>
      <c r="C172" s="36">
        <f>IF(B171&lt;'Умови та класичний графік'!$J$14,EDATE(C171,1),"")</f>
        <v>48396</v>
      </c>
      <c r="D172" s="36">
        <f>IF(B171&lt;'Умови та класичний графік'!$J$14,C171,"")</f>
        <v>48366</v>
      </c>
      <c r="E172" s="26">
        <f>IF(B171&lt;'Умови та класичний графік'!$J$14,C172-1,"")</f>
        <v>48395</v>
      </c>
      <c r="F172" s="37">
        <f>IF(B171&lt;'Умови та класичний графік'!$J$14,E172-D172+1,"")</f>
        <v>30</v>
      </c>
      <c r="G172" s="140">
        <f>IF(B171&lt;'Умови та класичний графік'!$J$14,-(SUM(J172:L172)),"")</f>
        <v>181728.12970921039</v>
      </c>
      <c r="H172" s="140"/>
      <c r="I172" s="32">
        <f>IF(B171&lt;'Умови та класичний графік'!$J$14,I171+J172,"")</f>
        <v>8485219.4640928376</v>
      </c>
      <c r="J172" s="32">
        <f>IF(B171&lt;'Умови та класичний графік'!$J$14,PPMT($J$20/12,B172,$J$12,$J$11,0,0),"")</f>
        <v>-29178.499527675995</v>
      </c>
      <c r="K172" s="32">
        <f>IF(B171&lt;'Умови та класичний графік'!$J$14,IPMT($J$20/12,B172,$J$12,$J$11,0,0),"")</f>
        <v>-152549.63018153439</v>
      </c>
      <c r="L172" s="30">
        <f>IF(B171&lt;'Умови та класичний графік'!$J$14,-(SUM(M172:V172)),"")</f>
        <v>0</v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>
        <f>IF(B171&lt;'Умови та класичний графік'!$J$14,XIRR($G$34:G172,$C$34:C172,0),"")</f>
        <v>0.22964758300781252</v>
      </c>
      <c r="X172" s="42"/>
      <c r="Y172" s="35"/>
    </row>
    <row r="173" spans="2:25" x14ac:dyDescent="0.2">
      <c r="B173" s="25">
        <v>139</v>
      </c>
      <c r="C173" s="36">
        <f>IF(B172&lt;'Умови та класичний графік'!$J$14,EDATE(C172,1),"")</f>
        <v>48427</v>
      </c>
      <c r="D173" s="36">
        <f>IF(B172&lt;'Умови та класичний графік'!$J$14,C172,"")</f>
        <v>48396</v>
      </c>
      <c r="E173" s="26">
        <f>IF(B172&lt;'Умови та класичний графік'!$J$14,C173-1,"")</f>
        <v>48426</v>
      </c>
      <c r="F173" s="37">
        <f>IF(B172&lt;'Умови та класичний графік'!$J$14,E173-D173+1,"")</f>
        <v>31</v>
      </c>
      <c r="G173" s="140">
        <f>IF(B172&lt;'Умови та класичний графік'!$J$14,-(SUM(J173:L173)),"")</f>
        <v>181728.12970921036</v>
      </c>
      <c r="H173" s="140"/>
      <c r="I173" s="32">
        <f>IF(B172&lt;'Умови та класичний графік'!$J$14,I172+J173,"")</f>
        <v>8455518.1831152905</v>
      </c>
      <c r="J173" s="32">
        <f>IF(B172&lt;'Умови та класичний графік'!$J$14,PPMT($J$20/12,B173,$J$12,$J$11,0,0),"")</f>
        <v>-29701.28097754686</v>
      </c>
      <c r="K173" s="32">
        <f>IF(B172&lt;'Умови та класичний графік'!$J$14,IPMT($J$20/12,B173,$J$12,$J$11,0,0),"")</f>
        <v>-152026.84873166351</v>
      </c>
      <c r="L173" s="30">
        <f>IF(B172&lt;'Умови та класичний графік'!$J$14,-(SUM(M173:V173)),"")</f>
        <v>0</v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>
        <f>IF(B172&lt;'Умови та класичний графік'!$J$14,XIRR($G$34:G173,$C$34:C173,0),"")</f>
        <v>0.23020753417968759</v>
      </c>
      <c r="X173" s="42"/>
      <c r="Y173" s="35"/>
    </row>
    <row r="174" spans="2:25" x14ac:dyDescent="0.2">
      <c r="B174" s="25">
        <v>140</v>
      </c>
      <c r="C174" s="36">
        <f>IF(B173&lt;'Умови та класичний графік'!$J$14,EDATE(C173,1),"")</f>
        <v>48458</v>
      </c>
      <c r="D174" s="36">
        <f>IF(B173&lt;'Умови та класичний графік'!$J$14,C173,"")</f>
        <v>48427</v>
      </c>
      <c r="E174" s="26">
        <f>IF(B173&lt;'Умови та класичний графік'!$J$14,C174-1,"")</f>
        <v>48457</v>
      </c>
      <c r="F174" s="37">
        <f>IF(B173&lt;'Умови та класичний графік'!$J$14,E174-D174+1,"")</f>
        <v>31</v>
      </c>
      <c r="G174" s="140">
        <f>IF(B173&lt;'Умови та класичний графік'!$J$14,-(SUM(J174:L174)),"")</f>
        <v>181728.12970921039</v>
      </c>
      <c r="H174" s="140"/>
      <c r="I174" s="32">
        <f>IF(B173&lt;'Умови та класичний графік'!$J$14,I173+J174,"")</f>
        <v>8425284.7541868966</v>
      </c>
      <c r="J174" s="32">
        <f>IF(B173&lt;'Умови та класичний графік'!$J$14,PPMT($J$20/12,B174,$J$12,$J$11,0,0),"")</f>
        <v>-30233.428928394569</v>
      </c>
      <c r="K174" s="32">
        <f>IF(B173&lt;'Умови та класичний графік'!$J$14,IPMT($J$20/12,B174,$J$12,$J$11,0,0),"")</f>
        <v>-151494.70078081582</v>
      </c>
      <c r="L174" s="30">
        <f>IF(B173&lt;'Умови та класичний графік'!$J$14,-(SUM(M174:V174)),"")</f>
        <v>0</v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>
        <f>IF(B173&lt;'Умови та класичний графік'!$J$14,XIRR($G$34:G174,$C$34:C174,0),"")</f>
        <v>0.23075371582031251</v>
      </c>
      <c r="X174" s="42"/>
      <c r="Y174" s="35"/>
    </row>
    <row r="175" spans="2:25" x14ac:dyDescent="0.2">
      <c r="B175" s="25">
        <v>141</v>
      </c>
      <c r="C175" s="36">
        <f>IF(B174&lt;'Умови та класичний графік'!$J$14,EDATE(C174,1),"")</f>
        <v>48488</v>
      </c>
      <c r="D175" s="36">
        <f>IF(B174&lt;'Умови та класичний графік'!$J$14,C174,"")</f>
        <v>48458</v>
      </c>
      <c r="E175" s="26">
        <f>IF(B174&lt;'Умови та класичний графік'!$J$14,C175-1,"")</f>
        <v>48487</v>
      </c>
      <c r="F175" s="37">
        <f>IF(B174&lt;'Умови та класичний графік'!$J$14,E175-D175+1,"")</f>
        <v>30</v>
      </c>
      <c r="G175" s="140">
        <f>IF(B174&lt;'Умови та класичний графік'!$J$14,-(SUM(J175:L175)),"")</f>
        <v>181728.12970921039</v>
      </c>
      <c r="H175" s="140"/>
      <c r="I175" s="32">
        <f>IF(B174&lt;'Умови та класичний графік'!$J$14,I174+J175,"")</f>
        <v>8394509.6429902017</v>
      </c>
      <c r="J175" s="32">
        <f>IF(B174&lt;'Умови та класичний графік'!$J$14,PPMT($J$20/12,B175,$J$12,$J$11,0,0),"")</f>
        <v>-30775.111196694972</v>
      </c>
      <c r="K175" s="32">
        <f>IF(B174&lt;'Умови та класичний графік'!$J$14,IPMT($J$20/12,B175,$J$12,$J$11,0,0),"")</f>
        <v>-150953.01851251541</v>
      </c>
      <c r="L175" s="30">
        <f>IF(B174&lt;'Умови та класичний графік'!$J$14,-(SUM(M175:V175)),"")</f>
        <v>0</v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>
        <f>IF(B174&lt;'Умови та класичний графік'!$J$14,XIRR($G$34:G175,$C$34:C175,0),"")</f>
        <v>0.23128680175781258</v>
      </c>
      <c r="X175" s="42"/>
      <c r="Y175" s="35"/>
    </row>
    <row r="176" spans="2:25" x14ac:dyDescent="0.2">
      <c r="B176" s="25">
        <v>142</v>
      </c>
      <c r="C176" s="36">
        <f>IF(B175&lt;'Умови та класичний графік'!$J$14,EDATE(C175,1),"")</f>
        <v>48519</v>
      </c>
      <c r="D176" s="36">
        <f>IF(B175&lt;'Умови та класичний графік'!$J$14,C175,"")</f>
        <v>48488</v>
      </c>
      <c r="E176" s="26">
        <f>IF(B175&lt;'Умови та класичний графік'!$J$14,C176-1,"")</f>
        <v>48518</v>
      </c>
      <c r="F176" s="37">
        <f>IF(B175&lt;'Умови та класичний графік'!$J$14,E176-D176+1,"")</f>
        <v>31</v>
      </c>
      <c r="G176" s="140">
        <f>IF(B175&lt;'Умови та класичний графік'!$J$14,-(SUM(J176:L176)),"")</f>
        <v>181728.12970921036</v>
      </c>
      <c r="H176" s="140"/>
      <c r="I176" s="32">
        <f>IF(B175&lt;'Умови та класичний графік'!$J$14,I175+J176,"")</f>
        <v>8363183.1443845658</v>
      </c>
      <c r="J176" s="32">
        <f>IF(B175&lt;'Умови та класичний графік'!$J$14,PPMT($J$20/12,B176,$J$12,$J$11,0,0),"")</f>
        <v>-31326.498605635759</v>
      </c>
      <c r="K176" s="32">
        <f>IF(B175&lt;'Умови та класичний графік'!$J$14,IPMT($J$20/12,B176,$J$12,$J$11,0,0),"")</f>
        <v>-150401.63110357462</v>
      </c>
      <c r="L176" s="30">
        <f>IF(B175&lt;'Умови та класичний графік'!$J$14,-(SUM(M176:V176)),"")</f>
        <v>0</v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>
        <f>IF(B175&lt;'Умови та класичний графік'!$J$14,XIRR($G$34:G176,$C$34:C176,0),"")</f>
        <v>0.23180687011718754</v>
      </c>
      <c r="X176" s="42"/>
      <c r="Y176" s="35"/>
    </row>
    <row r="177" spans="2:25" x14ac:dyDescent="0.2">
      <c r="B177" s="25">
        <v>143</v>
      </c>
      <c r="C177" s="36">
        <f>IF(B176&lt;'Умови та класичний графік'!$J$14,EDATE(C176,1),"")</f>
        <v>48549</v>
      </c>
      <c r="D177" s="36">
        <f>IF(B176&lt;'Умови та класичний графік'!$J$14,C176,"")</f>
        <v>48519</v>
      </c>
      <c r="E177" s="26">
        <f>IF(B176&lt;'Умови та класичний графік'!$J$14,C177-1,"")</f>
        <v>48548</v>
      </c>
      <c r="F177" s="37">
        <f>IF(B176&lt;'Умови та класичний графік'!$J$14,E177-D177+1,"")</f>
        <v>30</v>
      </c>
      <c r="G177" s="140">
        <f>IF(B176&lt;'Умови та класичний графік'!$J$14,-(SUM(J177:L177)),"")</f>
        <v>181728.12970921036</v>
      </c>
      <c r="H177" s="140"/>
      <c r="I177" s="32">
        <f>IF(B176&lt;'Умови та класичний графік'!$J$14,I176+J177,"")</f>
        <v>8331295.3793455791</v>
      </c>
      <c r="J177" s="32">
        <f>IF(B176&lt;'Умови та класичний графік'!$J$14,PPMT($J$20/12,B177,$J$12,$J$11,0,0),"")</f>
        <v>-31887.765038986727</v>
      </c>
      <c r="K177" s="32">
        <f>IF(B176&lt;'Умови та класичний графік'!$J$14,IPMT($J$20/12,B177,$J$12,$J$11,0,0),"")</f>
        <v>-149840.36467022364</v>
      </c>
      <c r="L177" s="30">
        <f>IF(B176&lt;'Умови та класичний графік'!$J$14,-(SUM(M177:V177)),"")</f>
        <v>0</v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>
        <f>IF(B176&lt;'Умови та класичний графік'!$J$14,XIRR($G$34:G177,$C$34:C177,0),"")</f>
        <v>0.23231456542968759</v>
      </c>
      <c r="X177" s="42"/>
      <c r="Y177" s="35"/>
    </row>
    <row r="178" spans="2:25" x14ac:dyDescent="0.2">
      <c r="B178" s="25">
        <v>144</v>
      </c>
      <c r="C178" s="36">
        <f>IF(B177&lt;'Умови та класичний графік'!$J$14,EDATE(C177,1),"")</f>
        <v>48580</v>
      </c>
      <c r="D178" s="36">
        <f>IF(B177&lt;'Умови та класичний графік'!$J$14,C177,"")</f>
        <v>48549</v>
      </c>
      <c r="E178" s="26">
        <f>IF(B177&lt;'Умови та класичний графік'!$J$14,C178-1,"")</f>
        <v>48579</v>
      </c>
      <c r="F178" s="37">
        <f>IF(B177&lt;'Умови та класичний графік'!$J$14,E178-D178+1,"")</f>
        <v>31</v>
      </c>
      <c r="G178" s="140">
        <f>IF(B177&lt;'Умови та класичний графік'!$J$14,-(SUM(J178:L178)),"")</f>
        <v>247124.63858475929</v>
      </c>
      <c r="H178" s="140"/>
      <c r="I178" s="32">
        <f>IF(B177&lt;'Умови та класичний графік'!$J$14,I177+J178,"")</f>
        <v>8298836.2918496439</v>
      </c>
      <c r="J178" s="32">
        <f>IF(B177&lt;'Умови та класичний графік'!$J$14,PPMT($J$20/12,B178,$J$12,$J$11,0,0),"")</f>
        <v>-32459.087495935248</v>
      </c>
      <c r="K178" s="32">
        <f>IF(B177&lt;'Умови та класичний графік'!$J$14,IPMT($J$20/12,B178,$J$12,$J$11,0,0),"")</f>
        <v>-149269.04221327513</v>
      </c>
      <c r="L178" s="30">
        <f>IF(B177&lt;'Умови та класичний графік'!$J$14,-(SUM(M178:V178)),"")</f>
        <v>-65396.508875548927</v>
      </c>
      <c r="M178" s="38"/>
      <c r="N178" s="39"/>
      <c r="O178" s="39"/>
      <c r="P178" s="32"/>
      <c r="Q178" s="40"/>
      <c r="R178" s="40"/>
      <c r="S178" s="41"/>
      <c r="T178" s="41"/>
      <c r="U178" s="33">
        <f>IF(B177&lt;'Умови та класичний графік'!$J$14,('Умови та класичний графік'!$J$15*$N$18)+(I178*$N$19),"")</f>
        <v>65396.508875548927</v>
      </c>
      <c r="V178" s="41"/>
      <c r="W178" s="43">
        <f>IF(B177&lt;'Умови та класичний графік'!$J$14,XIRR($G$34:G178,$C$34:C178,0),"")</f>
        <v>0.23298736816406251</v>
      </c>
      <c r="X178" s="42"/>
      <c r="Y178" s="35"/>
    </row>
    <row r="179" spans="2:25" x14ac:dyDescent="0.2">
      <c r="B179" s="25">
        <v>145</v>
      </c>
      <c r="C179" s="36">
        <f>IF(B178&lt;'Умови та класичний графік'!$J$14,EDATE(C178,1),"")</f>
        <v>48611</v>
      </c>
      <c r="D179" s="36">
        <f>IF(B178&lt;'Умови та класичний графік'!$J$14,C178,"")</f>
        <v>48580</v>
      </c>
      <c r="E179" s="26">
        <f>IF(B178&lt;'Умови та класичний графік'!$J$14,C179-1,"")</f>
        <v>48610</v>
      </c>
      <c r="F179" s="37">
        <f>IF(B178&lt;'Умови та класичний графік'!$J$14,E179-D179+1,"")</f>
        <v>31</v>
      </c>
      <c r="G179" s="140">
        <f>IF(B178&lt;'Умови та класичний графік'!$J$14,-(SUM(J179:L179)),"")</f>
        <v>181728.12970921036</v>
      </c>
      <c r="H179" s="140"/>
      <c r="I179" s="32">
        <f>IF(B178&lt;'Умови та класичний графік'!$J$14,I178+J179,"")</f>
        <v>8265795.6457027402</v>
      </c>
      <c r="J179" s="32">
        <f>IF(B178&lt;'Умови та класичний графік'!$J$14,PPMT($J$20/12,B179,$J$12,$J$11,0,0),"")</f>
        <v>-33040.646146904088</v>
      </c>
      <c r="K179" s="32">
        <f>IF(B178&lt;'Умови та класичний графік'!$J$14,IPMT($J$20/12,B179,$J$12,$J$11,0,0),"")</f>
        <v>-148687.48356230627</v>
      </c>
      <c r="L179" s="30">
        <f>IF(B178&lt;'Умови та класичний графік'!$J$14,-(SUM(M179:V179)),"")</f>
        <v>0</v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>
        <f>IF(B178&lt;'Умови та класичний графік'!$J$14,XIRR($G$34:G179,$C$34:C179,0),"")</f>
        <v>0.23346956542968761</v>
      </c>
      <c r="X179" s="42"/>
      <c r="Y179" s="35"/>
    </row>
    <row r="180" spans="2:25" x14ac:dyDescent="0.2">
      <c r="B180" s="25">
        <v>146</v>
      </c>
      <c r="C180" s="36">
        <f>IF(B179&lt;'Умови та класичний графік'!$J$14,EDATE(C179,1),"")</f>
        <v>48639</v>
      </c>
      <c r="D180" s="36">
        <f>IF(B179&lt;'Умови та класичний графік'!$J$14,C179,"")</f>
        <v>48611</v>
      </c>
      <c r="E180" s="26">
        <f>IF(B179&lt;'Умови та класичний графік'!$J$14,C180-1,"")</f>
        <v>48638</v>
      </c>
      <c r="F180" s="37">
        <f>IF(B179&lt;'Умови та класичний графік'!$J$14,E180-D180+1,"")</f>
        <v>28</v>
      </c>
      <c r="G180" s="140">
        <f>IF(B179&lt;'Умови та класичний графік'!$J$14,-(SUM(J180:L180)),"")</f>
        <v>181728.12970921036</v>
      </c>
      <c r="H180" s="140"/>
      <c r="I180" s="32">
        <f>IF(B179&lt;'Умови та класичний графік'!$J$14,I179+J180,"")</f>
        <v>8232163.0213123709</v>
      </c>
      <c r="J180" s="32">
        <f>IF(B179&lt;'Умови та класичний графік'!$J$14,PPMT($J$20/12,B180,$J$12,$J$11,0,0),"")</f>
        <v>-33632.624390369449</v>
      </c>
      <c r="K180" s="32">
        <f>IF(B179&lt;'Умови та класичний графік'!$J$14,IPMT($J$20/12,B180,$J$12,$J$11,0,0),"")</f>
        <v>-148095.50531884091</v>
      </c>
      <c r="L180" s="30">
        <f>IF(B179&lt;'Умови та класичний графік'!$J$14,-(SUM(M180:V180)),"")</f>
        <v>0</v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>
        <f>IF(B179&lt;'Умови та класичний графік'!$J$14,XIRR($G$34:G180,$C$34:C180,0),"")</f>
        <v>0.23394094238281254</v>
      </c>
      <c r="X180" s="42"/>
      <c r="Y180" s="35"/>
    </row>
    <row r="181" spans="2:25" x14ac:dyDescent="0.2">
      <c r="B181" s="25">
        <v>147</v>
      </c>
      <c r="C181" s="36">
        <f>IF(B180&lt;'Умови та класичний графік'!$J$14,EDATE(C180,1),"")</f>
        <v>48670</v>
      </c>
      <c r="D181" s="36">
        <f>IF(B180&lt;'Умови та класичний графік'!$J$14,C180,"")</f>
        <v>48639</v>
      </c>
      <c r="E181" s="26">
        <f>IF(B180&lt;'Умови та класичний графік'!$J$14,C181-1,"")</f>
        <v>48669</v>
      </c>
      <c r="F181" s="37">
        <f>IF(B180&lt;'Умови та класичний графік'!$J$14,E181-D181+1,"")</f>
        <v>31</v>
      </c>
      <c r="G181" s="140">
        <f>IF(B180&lt;'Умови та класичний графік'!$J$14,-(SUM(J181:L181)),"")</f>
        <v>181728.12970921036</v>
      </c>
      <c r="H181" s="140"/>
      <c r="I181" s="32">
        <f>IF(B180&lt;'Умови та класичний графік'!$J$14,I180+J181,"")</f>
        <v>8197927.8124016738</v>
      </c>
      <c r="J181" s="32">
        <f>IF(B180&lt;'Умови та класичний графік'!$J$14,PPMT($J$20/12,B181,$J$12,$J$11,0,0),"")</f>
        <v>-34235.2089106969</v>
      </c>
      <c r="K181" s="32">
        <f>IF(B180&lt;'Умови та класичний графік'!$J$14,IPMT($J$20/12,B181,$J$12,$J$11,0,0),"")</f>
        <v>-147492.92079851346</v>
      </c>
      <c r="L181" s="30">
        <f>IF(B180&lt;'Умови та класичний графік'!$J$14,-(SUM(M181:V181)),"")</f>
        <v>0</v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>
        <f>IF(B180&lt;'Умови та класичний графік'!$J$14,XIRR($G$34:G181,$C$34:C181,0),"")</f>
        <v>0.23440098144531257</v>
      </c>
      <c r="X181" s="42"/>
      <c r="Y181" s="35"/>
    </row>
    <row r="182" spans="2:25" x14ac:dyDescent="0.2">
      <c r="B182" s="25">
        <v>148</v>
      </c>
      <c r="C182" s="36">
        <f>IF(B181&lt;'Умови та класичний графік'!$J$14,EDATE(C181,1),"")</f>
        <v>48700</v>
      </c>
      <c r="D182" s="36">
        <f>IF(B181&lt;'Умови та класичний графік'!$J$14,C181,"")</f>
        <v>48670</v>
      </c>
      <c r="E182" s="26">
        <f>IF(B181&lt;'Умови та класичний графік'!$J$14,C182-1,"")</f>
        <v>48699</v>
      </c>
      <c r="F182" s="37">
        <f>IF(B181&lt;'Умови та класичний графік'!$J$14,E182-D182+1,"")</f>
        <v>30</v>
      </c>
      <c r="G182" s="140">
        <f>IF(B181&lt;'Умови та класичний графік'!$J$14,-(SUM(J182:L182)),"")</f>
        <v>181728.12970921036</v>
      </c>
      <c r="H182" s="140"/>
      <c r="I182" s="32">
        <f>IF(B181&lt;'Умови та класичний графік'!$J$14,I181+J182,"")</f>
        <v>8163079.2226646598</v>
      </c>
      <c r="J182" s="32">
        <f>IF(B181&lt;'Умови та класичний графік'!$J$14,PPMT($J$20/12,B182,$J$12,$J$11,0,0),"")</f>
        <v>-34848.58973701355</v>
      </c>
      <c r="K182" s="32">
        <f>IF(B181&lt;'Умови та класичний графік'!$J$14,IPMT($J$20/12,B182,$J$12,$J$11,0,0),"")</f>
        <v>-146879.53997219683</v>
      </c>
      <c r="L182" s="30">
        <f>IF(B181&lt;'Умови та класичний графік'!$J$14,-(SUM(M182:V182)),"")</f>
        <v>0</v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>
        <f>IF(B181&lt;'Умови та класичний графік'!$J$14,XIRR($G$34:G182,$C$34:C182,0),"")</f>
        <v>0.23485023925781257</v>
      </c>
      <c r="X182" s="42"/>
      <c r="Y182" s="35"/>
    </row>
    <row r="183" spans="2:25" x14ac:dyDescent="0.2">
      <c r="B183" s="25">
        <v>149</v>
      </c>
      <c r="C183" s="36">
        <f>IF(B182&lt;'Умови та класичний графік'!$J$14,EDATE(C182,1),"")</f>
        <v>48731</v>
      </c>
      <c r="D183" s="36">
        <f>IF(B182&lt;'Умови та класичний графік'!$J$14,C182,"")</f>
        <v>48700</v>
      </c>
      <c r="E183" s="26">
        <f>IF(B182&lt;'Умови та класичний графік'!$J$14,C183-1,"")</f>
        <v>48730</v>
      </c>
      <c r="F183" s="37">
        <f>IF(B182&lt;'Умови та класичний графік'!$J$14,E183-D183+1,"")</f>
        <v>31</v>
      </c>
      <c r="G183" s="140">
        <f>IF(B182&lt;'Умови та класичний графік'!$J$14,-(SUM(J183:L183)),"")</f>
        <v>181728.12970921036</v>
      </c>
      <c r="H183" s="140"/>
      <c r="I183" s="32">
        <f>IF(B182&lt;'Умови та класичний графік'!$J$14,I182+J183,"")</f>
        <v>8127606.2623615246</v>
      </c>
      <c r="J183" s="32">
        <f>IF(B182&lt;'Умови та класичний графік'!$J$14,PPMT($J$20/12,B183,$J$12,$J$11,0,0),"")</f>
        <v>-35472.960303135049</v>
      </c>
      <c r="K183" s="32">
        <f>IF(B182&lt;'Умови та класичний графік'!$J$14,IPMT($J$20/12,B183,$J$12,$J$11,0,0),"")</f>
        <v>-146255.16940607532</v>
      </c>
      <c r="L183" s="30">
        <f>IF(B182&lt;'Умови та класичний графік'!$J$14,-(SUM(M183:V183)),"")</f>
        <v>0</v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>
        <f>IF(B182&lt;'Умови та класичний графік'!$J$14,XIRR($G$34:G183,$C$34:C183,0),"")</f>
        <v>0.2352887451171875</v>
      </c>
      <c r="X183" s="42"/>
      <c r="Y183" s="35"/>
    </row>
    <row r="184" spans="2:25" x14ac:dyDescent="0.2">
      <c r="B184" s="25">
        <v>150</v>
      </c>
      <c r="C184" s="36">
        <f>IF(B183&lt;'Умови та класичний графік'!$J$14,EDATE(C183,1),"")</f>
        <v>48761</v>
      </c>
      <c r="D184" s="36">
        <f>IF(B183&lt;'Умови та класичний графік'!$J$14,C183,"")</f>
        <v>48731</v>
      </c>
      <c r="E184" s="26">
        <f>IF(B183&lt;'Умови та класичний графік'!$J$14,C184-1,"")</f>
        <v>48760</v>
      </c>
      <c r="F184" s="37">
        <f>IF(B183&lt;'Умови та класичний графік'!$J$14,E184-D184+1,"")</f>
        <v>30</v>
      </c>
      <c r="G184" s="140">
        <f>IF(B183&lt;'Умови та класичний графік'!$J$14,-(SUM(J184:L184)),"")</f>
        <v>181728.12970921036</v>
      </c>
      <c r="H184" s="140"/>
      <c r="I184" s="32">
        <f>IF(B183&lt;'Умови та класичний графік'!$J$14,I183+J184,"")</f>
        <v>8091497.7448529582</v>
      </c>
      <c r="J184" s="32">
        <f>IF(B183&lt;'Умови та класичний графік'!$J$14,PPMT($J$20/12,B184,$J$12,$J$11,0,0),"")</f>
        <v>-36108.517508566219</v>
      </c>
      <c r="K184" s="32">
        <f>IF(B183&lt;'Умови та класичний графік'!$J$14,IPMT($J$20/12,B184,$J$12,$J$11,0,0),"")</f>
        <v>-145619.61220064413</v>
      </c>
      <c r="L184" s="30">
        <f>IF(B183&lt;'Умови та класичний графік'!$J$14,-(SUM(M184:V184)),"")</f>
        <v>0</v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>
        <f>IF(B183&lt;'Умови та класичний графік'!$J$14,XIRR($G$34:G184,$C$34:C184,0),"")</f>
        <v>0.23571705566406254</v>
      </c>
      <c r="X184" s="42"/>
      <c r="Y184" s="35"/>
    </row>
    <row r="185" spans="2:25" x14ac:dyDescent="0.2">
      <c r="B185" s="25">
        <v>151</v>
      </c>
      <c r="C185" s="36">
        <f>IF(B184&lt;'Умови та класичний графік'!$J$14,EDATE(C184,1),"")</f>
        <v>48792</v>
      </c>
      <c r="D185" s="36">
        <f>IF(B184&lt;'Умови та класичний графік'!$J$14,C184,"")</f>
        <v>48761</v>
      </c>
      <c r="E185" s="26">
        <f>IF(B184&lt;'Умови та класичний графік'!$J$14,C185-1,"")</f>
        <v>48791</v>
      </c>
      <c r="F185" s="37">
        <f>IF(B184&lt;'Умови та класичний графік'!$J$14,E185-D185+1,"")</f>
        <v>31</v>
      </c>
      <c r="G185" s="140">
        <f>IF(B184&lt;'Умови та класичний графік'!$J$14,-(SUM(J185:L185)),"")</f>
        <v>181728.12970921036</v>
      </c>
      <c r="H185" s="140"/>
      <c r="I185" s="32">
        <f>IF(B184&lt;'Умови та класичний графік'!$J$14,I184+J185,"")</f>
        <v>8054742.2830723636</v>
      </c>
      <c r="J185" s="32">
        <f>IF(B184&lt;'Умови та класичний графік'!$J$14,PPMT($J$20/12,B185,$J$12,$J$11,0,0),"")</f>
        <v>-36755.461780594698</v>
      </c>
      <c r="K185" s="32">
        <f>IF(B184&lt;'Умови та класичний графік'!$J$14,IPMT($J$20/12,B185,$J$12,$J$11,0,0),"")</f>
        <v>-144972.66792861567</v>
      </c>
      <c r="L185" s="30">
        <f>IF(B184&lt;'Умови та класичний графік'!$J$14,-(SUM(M185:V185)),"")</f>
        <v>0</v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>
        <f>IF(B184&lt;'Умови та класичний графік'!$J$14,XIRR($G$34:G185,$C$34:C185,0),"")</f>
        <v>0.23613517089843755</v>
      </c>
      <c r="X185" s="42"/>
      <c r="Y185" s="35"/>
    </row>
    <row r="186" spans="2:25" x14ac:dyDescent="0.2">
      <c r="B186" s="25">
        <v>152</v>
      </c>
      <c r="C186" s="36">
        <f>IF(B185&lt;'Умови та класичний графік'!$J$14,EDATE(C185,1),"")</f>
        <v>48823</v>
      </c>
      <c r="D186" s="36">
        <f>IF(B185&lt;'Умови та класичний графік'!$J$14,C185,"")</f>
        <v>48792</v>
      </c>
      <c r="E186" s="26">
        <f>IF(B185&lt;'Умови та класичний графік'!$J$14,C186-1,"")</f>
        <v>48822</v>
      </c>
      <c r="F186" s="37">
        <f>IF(B185&lt;'Умови та класичний графік'!$J$14,E186-D186+1,"")</f>
        <v>31</v>
      </c>
      <c r="G186" s="140">
        <f>IF(B185&lt;'Умови та класичний графік'!$J$14,-(SUM(J186:L186)),"")</f>
        <v>181728.12970921036</v>
      </c>
      <c r="H186" s="140"/>
      <c r="I186" s="32">
        <f>IF(B185&lt;'Умови та класичний графік'!$J$14,I185+J186,"")</f>
        <v>8017328.2859348664</v>
      </c>
      <c r="J186" s="32">
        <f>IF(B185&lt;'Умови та класичний графік'!$J$14,PPMT($J$20/12,B186,$J$12,$J$11,0,0),"")</f>
        <v>-37413.997137497019</v>
      </c>
      <c r="K186" s="32">
        <f>IF(B185&lt;'Умови та класичний графік'!$J$14,IPMT($J$20/12,B186,$J$12,$J$11,0,0),"")</f>
        <v>-144314.13257171336</v>
      </c>
      <c r="L186" s="30">
        <f>IF(B185&lt;'Умови та класичний графік'!$J$14,-(SUM(M186:V186)),"")</f>
        <v>0</v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>
        <f>IF(B185&lt;'Умови та класичний графік'!$J$14,XIRR($G$34:G186,$C$34:C186,0),"")</f>
        <v>0.23654336425781258</v>
      </c>
      <c r="X186" s="42"/>
      <c r="Y186" s="35"/>
    </row>
    <row r="187" spans="2:25" x14ac:dyDescent="0.2">
      <c r="B187" s="25">
        <v>153</v>
      </c>
      <c r="C187" s="36">
        <f>IF(B186&lt;'Умови та класичний графік'!$J$14,EDATE(C186,1),"")</f>
        <v>48853</v>
      </c>
      <c r="D187" s="36">
        <f>IF(B186&lt;'Умови та класичний графік'!$J$14,C186,"")</f>
        <v>48823</v>
      </c>
      <c r="E187" s="26">
        <f>IF(B186&lt;'Умови та класичний графік'!$J$14,C187-1,"")</f>
        <v>48852</v>
      </c>
      <c r="F187" s="37">
        <f>IF(B186&lt;'Умови та класичний графік'!$J$14,E187-D187+1,"")</f>
        <v>30</v>
      </c>
      <c r="G187" s="140">
        <f>IF(B186&lt;'Умови та класичний графік'!$J$14,-(SUM(J187:L187)),"")</f>
        <v>181728.12970921036</v>
      </c>
      <c r="H187" s="140"/>
      <c r="I187" s="32">
        <f>IF(B186&lt;'Умови та класичний графік'!$J$14,I186+J187,"")</f>
        <v>7979243.9546819888</v>
      </c>
      <c r="J187" s="32">
        <f>IF(B186&lt;'Умови та класичний графік'!$J$14,PPMT($J$20/12,B187,$J$12,$J$11,0,0),"")</f>
        <v>-38084.331252877171</v>
      </c>
      <c r="K187" s="32">
        <f>IF(B186&lt;'Умови та класичний графік'!$J$14,IPMT($J$20/12,B187,$J$12,$J$11,0,0),"")</f>
        <v>-143643.7984563332</v>
      </c>
      <c r="L187" s="30">
        <f>IF(B186&lt;'Умови та класичний графік'!$J$14,-(SUM(M187:V187)),"")</f>
        <v>0</v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>
        <f>IF(B186&lt;'Умови та класичний графік'!$J$14,XIRR($G$34:G187,$C$34:C187,0),"")</f>
        <v>0.23694214355468751</v>
      </c>
      <c r="X187" s="42"/>
      <c r="Y187" s="35"/>
    </row>
    <row r="188" spans="2:25" x14ac:dyDescent="0.2">
      <c r="B188" s="25">
        <v>154</v>
      </c>
      <c r="C188" s="36">
        <f>IF(B187&lt;'Умови та класичний графік'!$J$14,EDATE(C187,1),"")</f>
        <v>48884</v>
      </c>
      <c r="D188" s="36">
        <f>IF(B187&lt;'Умови та класичний графік'!$J$14,C187,"")</f>
        <v>48853</v>
      </c>
      <c r="E188" s="26">
        <f>IF(B187&lt;'Умови та класичний графік'!$J$14,C188-1,"")</f>
        <v>48883</v>
      </c>
      <c r="F188" s="37">
        <f>IF(B187&lt;'Умови та класичний графік'!$J$14,E188-D188+1,"")</f>
        <v>31</v>
      </c>
      <c r="G188" s="140">
        <f>IF(B187&lt;'Умови та класичний графік'!$J$14,-(SUM(J188:L188)),"")</f>
        <v>181728.12970921036</v>
      </c>
      <c r="H188" s="140"/>
      <c r="I188" s="32">
        <f>IF(B187&lt;'Умови та класичний графік'!$J$14,I187+J188,"")</f>
        <v>7940477.2791608311</v>
      </c>
      <c r="J188" s="32">
        <f>IF(B187&lt;'Умови та класичний графік'!$J$14,PPMT($J$20/12,B188,$J$12,$J$11,0,0),"")</f>
        <v>-38766.675521157893</v>
      </c>
      <c r="K188" s="32">
        <f>IF(B187&lt;'Умови та класичний графік'!$J$14,IPMT($J$20/12,B188,$J$12,$J$11,0,0),"")</f>
        <v>-142961.45418805248</v>
      </c>
      <c r="L188" s="30">
        <f>IF(B187&lt;'Умови та класичний графік'!$J$14,-(SUM(M188:V188)),"")</f>
        <v>0</v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>
        <f>IF(B187&lt;'Умови та класичний графік'!$J$14,XIRR($G$34:G188,$C$34:C188,0),"")</f>
        <v>0.23733151855468748</v>
      </c>
      <c r="X188" s="42"/>
      <c r="Y188" s="35"/>
    </row>
    <row r="189" spans="2:25" x14ac:dyDescent="0.2">
      <c r="B189" s="25">
        <v>155</v>
      </c>
      <c r="C189" s="36">
        <f>IF(B188&lt;'Умови та класичний графік'!$J$14,EDATE(C188,1),"")</f>
        <v>48914</v>
      </c>
      <c r="D189" s="36">
        <f>IF(B188&lt;'Умови та класичний графік'!$J$14,C188,"")</f>
        <v>48884</v>
      </c>
      <c r="E189" s="26">
        <f>IF(B188&lt;'Умови та класичний графік'!$J$14,C189-1,"")</f>
        <v>48913</v>
      </c>
      <c r="F189" s="37">
        <f>IF(B188&lt;'Умови та класичний графік'!$J$14,E189-D189+1,"")</f>
        <v>30</v>
      </c>
      <c r="G189" s="140">
        <f>IF(B188&lt;'Умови та класичний графік'!$J$14,-(SUM(J189:L189)),"")</f>
        <v>181728.12970921036</v>
      </c>
      <c r="H189" s="140"/>
      <c r="I189" s="32">
        <f>IF(B188&lt;'Умови та класичний графік'!$J$14,I188+J189,"")</f>
        <v>7901016.0340365861</v>
      </c>
      <c r="J189" s="32">
        <f>IF(B188&lt;'Умови та класичний графік'!$J$14,PPMT($J$20/12,B189,$J$12,$J$11,0,0),"")</f>
        <v>-39461.245124245303</v>
      </c>
      <c r="K189" s="32">
        <f>IF(B188&lt;'Умови та класичний графік'!$J$14,IPMT($J$20/12,B189,$J$12,$J$11,0,0),"")</f>
        <v>-142266.88458496507</v>
      </c>
      <c r="L189" s="30">
        <f>IF(B188&lt;'Умови та класичний графік'!$J$14,-(SUM(M189:V189)),"")</f>
        <v>0</v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>
        <f>IF(B188&lt;'Умови та класичний графік'!$J$14,XIRR($G$34:G189,$C$34:C189,0),"")</f>
        <v>0.23771195800781253</v>
      </c>
      <c r="X189" s="42"/>
      <c r="Y189" s="35"/>
    </row>
    <row r="190" spans="2:25" x14ac:dyDescent="0.2">
      <c r="B190" s="25">
        <v>156</v>
      </c>
      <c r="C190" s="36">
        <f>IF(B189&lt;'Умови та класичний графік'!$J$14,EDATE(C189,1),"")</f>
        <v>48945</v>
      </c>
      <c r="D190" s="36">
        <f>IF(B189&lt;'Умови та класичний графік'!$J$14,C189,"")</f>
        <v>48914</v>
      </c>
      <c r="E190" s="26">
        <f>IF(B189&lt;'Умови та класичний графік'!$J$14,C190-1,"")</f>
        <v>48944</v>
      </c>
      <c r="F190" s="37">
        <f>IF(B189&lt;'Умови та класичний графік'!$J$14,E190-D190+1,"")</f>
        <v>31</v>
      </c>
      <c r="G190" s="140">
        <f>IF(B189&lt;'Умови та класичний графік'!$J$14,-(SUM(J190:L190)),"")</f>
        <v>245810.67303402195</v>
      </c>
      <c r="H190" s="140"/>
      <c r="I190" s="32">
        <f>IF(B189&lt;'Умови та класичний графік'!$J$14,I189+J190,"")</f>
        <v>7860847.7749371976</v>
      </c>
      <c r="J190" s="32">
        <f>IF(B189&lt;'Умови та класичний графік'!$J$14,PPMT($J$20/12,B190,$J$12,$J$11,0,0),"")</f>
        <v>-40168.259099388029</v>
      </c>
      <c r="K190" s="32">
        <f>IF(B189&lt;'Умови та класичний графік'!$J$14,IPMT($J$20/12,B190,$J$12,$J$11,0,0),"")</f>
        <v>-141559.87060982233</v>
      </c>
      <c r="L190" s="30">
        <f>IF(B189&lt;'Умови та класичний графік'!$J$14,-(SUM(M190:V190)),"")</f>
        <v>-64082.543324811588</v>
      </c>
      <c r="M190" s="38"/>
      <c r="N190" s="39"/>
      <c r="O190" s="39"/>
      <c r="P190" s="32"/>
      <c r="Q190" s="40"/>
      <c r="R190" s="40"/>
      <c r="S190" s="41"/>
      <c r="T190" s="41"/>
      <c r="U190" s="33">
        <f>IF(B189&lt;'Умови та класичний графік'!$J$14,('Умови та класичний графік'!$J$15*$N$18)+(I190*$N$19),"")</f>
        <v>64082.543324811588</v>
      </c>
      <c r="V190" s="41"/>
      <c r="W190" s="43">
        <f>IF(B189&lt;'Умови та класичний графік'!$J$14,XIRR($G$34:G190,$C$34:C190,0),"")</f>
        <v>0.23821397949218748</v>
      </c>
      <c r="X190" s="42"/>
      <c r="Y190" s="35"/>
    </row>
    <row r="191" spans="2:25" x14ac:dyDescent="0.2">
      <c r="B191" s="25">
        <v>157</v>
      </c>
      <c r="C191" s="36">
        <f>IF(B190&lt;'Умови та класичний графік'!$J$14,EDATE(C190,1),"")</f>
        <v>48976</v>
      </c>
      <c r="D191" s="36">
        <f>IF(B190&lt;'Умови та класичний графік'!$J$14,C190,"")</f>
        <v>48945</v>
      </c>
      <c r="E191" s="26">
        <f>IF(B190&lt;'Умови та класичний графік'!$J$14,C191-1,"")</f>
        <v>48975</v>
      </c>
      <c r="F191" s="37">
        <f>IF(B190&lt;'Умови та класичний графік'!$J$14,E191-D191+1,"")</f>
        <v>31</v>
      </c>
      <c r="G191" s="140">
        <f>IF(B190&lt;'Умови та класичний графік'!$J$14,-(SUM(J191:L191)),"")</f>
        <v>181728.12970921036</v>
      </c>
      <c r="H191" s="140"/>
      <c r="I191" s="32">
        <f>IF(B190&lt;'Умови та класичний графік'!$J$14,I190+J191,"")</f>
        <v>7819959.8345289454</v>
      </c>
      <c r="J191" s="32">
        <f>IF(B190&lt;'Умови та класичний графік'!$J$14,PPMT($J$20/12,B191,$J$12,$J$11,0,0),"")</f>
        <v>-40887.94040825207</v>
      </c>
      <c r="K191" s="32">
        <f>IF(B190&lt;'Умови та класичний графік'!$J$14,IPMT($J$20/12,B191,$J$12,$J$11,0,0),"")</f>
        <v>-140840.1893009583</v>
      </c>
      <c r="L191" s="30">
        <f>IF(B190&lt;'Умови та класичний графік'!$J$14,-(SUM(M191:V191)),"")</f>
        <v>0</v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>
        <f>IF(B190&lt;'Умови та класичний графік'!$J$14,XIRR($G$34:G191,$C$34:C191,0),"")</f>
        <v>0.23857608886718751</v>
      </c>
      <c r="X191" s="42"/>
      <c r="Y191" s="35"/>
    </row>
    <row r="192" spans="2:25" x14ac:dyDescent="0.2">
      <c r="B192" s="25">
        <v>158</v>
      </c>
      <c r="C192" s="36">
        <f>IF(B191&lt;'Умови та класичний графік'!$J$14,EDATE(C191,1),"")</f>
        <v>49004</v>
      </c>
      <c r="D192" s="36">
        <f>IF(B191&lt;'Умови та класичний графік'!$J$14,C191,"")</f>
        <v>48976</v>
      </c>
      <c r="E192" s="26">
        <f>IF(B191&lt;'Умови та класичний графік'!$J$14,C192-1,"")</f>
        <v>49003</v>
      </c>
      <c r="F192" s="37">
        <f>IF(B191&lt;'Умови та класичний графік'!$J$14,E192-D192+1,"")</f>
        <v>28</v>
      </c>
      <c r="G192" s="140">
        <f>IF(B191&lt;'Умови та класичний графік'!$J$14,-(SUM(J192:L192)),"")</f>
        <v>181728.12970921042</v>
      </c>
      <c r="H192" s="140"/>
      <c r="I192" s="32">
        <f>IF(B191&lt;'Умови та класичний графік'!$J$14,I191+J192,"")</f>
        <v>7778339.318521712</v>
      </c>
      <c r="J192" s="32">
        <f>IF(B191&lt;'Умови та класичний графік'!$J$14,PPMT($J$20/12,B192,$J$12,$J$11,0,0),"")</f>
        <v>-41620.516007233251</v>
      </c>
      <c r="K192" s="32">
        <f>IF(B191&lt;'Умови та класичний графік'!$J$14,IPMT($J$20/12,B192,$J$12,$J$11,0,0),"")</f>
        <v>-140107.61370197716</v>
      </c>
      <c r="L192" s="30">
        <f>IF(B191&lt;'Умови та класичний графік'!$J$14,-(SUM(M192:V192)),"")</f>
        <v>0</v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>
        <f>IF(B191&lt;'Умови та класичний графік'!$J$14,XIRR($G$34:G192,$C$34:C192,0),"")</f>
        <v>0.23893037597656253</v>
      </c>
      <c r="X192" s="42"/>
      <c r="Y192" s="35"/>
    </row>
    <row r="193" spans="2:25" x14ac:dyDescent="0.2">
      <c r="B193" s="25">
        <v>159</v>
      </c>
      <c r="C193" s="36">
        <f>IF(B192&lt;'Умови та класичний графік'!$J$14,EDATE(C192,1),"")</f>
        <v>49035</v>
      </c>
      <c r="D193" s="36">
        <f>IF(B192&lt;'Умови та класичний графік'!$J$14,C192,"")</f>
        <v>49004</v>
      </c>
      <c r="E193" s="26">
        <f>IF(B192&lt;'Умови та класичний графік'!$J$14,C193-1,"")</f>
        <v>49034</v>
      </c>
      <c r="F193" s="37">
        <f>IF(B192&lt;'Умови та класичний графік'!$J$14,E193-D193+1,"")</f>
        <v>31</v>
      </c>
      <c r="G193" s="140">
        <f>IF(B192&lt;'Умови та класичний графік'!$J$14,-(SUM(J193:L193)),"")</f>
        <v>181728.12970921036</v>
      </c>
      <c r="H193" s="140"/>
      <c r="I193" s="32">
        <f>IF(B192&lt;'Умови та класичний графік'!$J$14,I192+J193,"")</f>
        <v>7735973.1016026828</v>
      </c>
      <c r="J193" s="32">
        <f>IF(B192&lt;'Умови та класичний графік'!$J$14,PPMT($J$20/12,B193,$J$12,$J$11,0,0),"")</f>
        <v>-42366.21691902951</v>
      </c>
      <c r="K193" s="32">
        <f>IF(B192&lt;'Умови та класичний графік'!$J$14,IPMT($J$20/12,B193,$J$12,$J$11,0,0),"")</f>
        <v>-139361.91279018085</v>
      </c>
      <c r="L193" s="30">
        <f>IF(B192&lt;'Умови та класичний графік'!$J$14,-(SUM(M193:V193)),"")</f>
        <v>0</v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>
        <f>IF(B192&lt;'Умови та класичний графік'!$J$14,XIRR($G$34:G193,$C$34:C193,0),"")</f>
        <v>0.23927642089843754</v>
      </c>
      <c r="X193" s="42"/>
      <c r="Y193" s="35"/>
    </row>
    <row r="194" spans="2:25" x14ac:dyDescent="0.2">
      <c r="B194" s="25">
        <v>160</v>
      </c>
      <c r="C194" s="36">
        <f>IF(B193&lt;'Умови та класичний графік'!$J$14,EDATE(C193,1),"")</f>
        <v>49065</v>
      </c>
      <c r="D194" s="36">
        <f>IF(B193&lt;'Умови та класичний графік'!$J$14,C193,"")</f>
        <v>49035</v>
      </c>
      <c r="E194" s="26">
        <f>IF(B193&lt;'Умови та класичний графік'!$J$14,C194-1,"")</f>
        <v>49064</v>
      </c>
      <c r="F194" s="37">
        <f>IF(B193&lt;'Умови та класичний графік'!$J$14,E194-D194+1,"")</f>
        <v>30</v>
      </c>
      <c r="G194" s="140">
        <f>IF(B193&lt;'Умови та класичний графік'!$J$14,-(SUM(J194:L194)),"")</f>
        <v>181728.12970921036</v>
      </c>
      <c r="H194" s="140"/>
      <c r="I194" s="32">
        <f>IF(B193&lt;'Умови та класичний графік'!$J$14,I193+J194,"")</f>
        <v>7692847.8232971877</v>
      </c>
      <c r="J194" s="32">
        <f>IF(B193&lt;'Умови та класичний графік'!$J$14,PPMT($J$20/12,B194,$J$12,$J$11,0,0),"")</f>
        <v>-43125.278305495463</v>
      </c>
      <c r="K194" s="32">
        <f>IF(B193&lt;'Умови та класичний графік'!$J$14,IPMT($J$20/12,B194,$J$12,$J$11,0,0),"")</f>
        <v>-138602.85140371491</v>
      </c>
      <c r="L194" s="30">
        <f>IF(B193&lt;'Умови та класичний графік'!$J$14,-(SUM(M194:V194)),"")</f>
        <v>0</v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>
        <f>IF(B193&lt;'Умови та класичний графік'!$J$14,XIRR($G$34:G194,$C$34:C194,0),"")</f>
        <v>0.23961462402343747</v>
      </c>
      <c r="X194" s="42"/>
      <c r="Y194" s="35"/>
    </row>
    <row r="195" spans="2:25" x14ac:dyDescent="0.2">
      <c r="B195" s="25">
        <v>161</v>
      </c>
      <c r="C195" s="36">
        <f>IF(B194&lt;'Умови та класичний графік'!$J$14,EDATE(C194,1),"")</f>
        <v>49096</v>
      </c>
      <c r="D195" s="36">
        <f>IF(B194&lt;'Умови та класичний графік'!$J$14,C194,"")</f>
        <v>49065</v>
      </c>
      <c r="E195" s="26">
        <f>IF(B194&lt;'Умови та класичний графік'!$J$14,C195-1,"")</f>
        <v>49095</v>
      </c>
      <c r="F195" s="37">
        <f>IF(B194&lt;'Умови та класичний графік'!$J$14,E195-D195+1,"")</f>
        <v>31</v>
      </c>
      <c r="G195" s="140">
        <f>IF(B194&lt;'Умови та класичний графік'!$J$14,-(SUM(J195:L195)),"")</f>
        <v>181728.12970921036</v>
      </c>
      <c r="H195" s="140"/>
      <c r="I195" s="32">
        <f>IF(B194&lt;'Умови та класичний графік'!$J$14,I194+J195,"")</f>
        <v>7648949.8837553859</v>
      </c>
      <c r="J195" s="32">
        <f>IF(B194&lt;'Умови та класичний графік'!$J$14,PPMT($J$20/12,B195,$J$12,$J$11,0,0),"")</f>
        <v>-43897.939541802247</v>
      </c>
      <c r="K195" s="32">
        <f>IF(B194&lt;'Умови та класичний графік'!$J$14,IPMT($J$20/12,B195,$J$12,$J$11,0,0),"")</f>
        <v>-137830.19016740812</v>
      </c>
      <c r="L195" s="30">
        <f>IF(B194&lt;'Умови та класичний графік'!$J$14,-(SUM(M195:V195)),"")</f>
        <v>0</v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>
        <f>IF(B194&lt;'Умови та класичний графік'!$J$14,XIRR($G$34:G195,$C$34:C195,0),"")</f>
        <v>0.23994499511718753</v>
      </c>
      <c r="X195" s="42"/>
      <c r="Y195" s="35"/>
    </row>
    <row r="196" spans="2:25" x14ac:dyDescent="0.2">
      <c r="B196" s="25">
        <v>162</v>
      </c>
      <c r="C196" s="36">
        <f>IF(B195&lt;'Умови та класичний графік'!$J$14,EDATE(C195,1),"")</f>
        <v>49126</v>
      </c>
      <c r="D196" s="36">
        <f>IF(B195&lt;'Умови та класичний графік'!$J$14,C195,"")</f>
        <v>49096</v>
      </c>
      <c r="E196" s="26">
        <f>IF(B195&lt;'Умови та класичний графік'!$J$14,C196-1,"")</f>
        <v>49125</v>
      </c>
      <c r="F196" s="37">
        <f>IF(B195&lt;'Умови та класичний графік'!$J$14,E196-D196+1,"")</f>
        <v>30</v>
      </c>
      <c r="G196" s="140">
        <f>IF(B195&lt;'Умови та класичний графік'!$J$14,-(SUM(J196:L196)),"")</f>
        <v>181728.12970921036</v>
      </c>
      <c r="H196" s="140"/>
      <c r="I196" s="32">
        <f>IF(B195&lt;'Умови та класичний графік'!$J$14,I195+J196,"")</f>
        <v>7604265.4394634599</v>
      </c>
      <c r="J196" s="32">
        <f>IF(B195&lt;'Умови та класичний графік'!$J$14,PPMT($J$20/12,B196,$J$12,$J$11,0,0),"")</f>
        <v>-44684.444291926207</v>
      </c>
      <c r="K196" s="32">
        <f>IF(B195&lt;'Умови та класичний графік'!$J$14,IPMT($J$20/12,B196,$J$12,$J$11,0,0),"")</f>
        <v>-137043.68541728417</v>
      </c>
      <c r="L196" s="30">
        <f>IF(B195&lt;'Умови та класичний графік'!$J$14,-(SUM(M196:V196)),"")</f>
        <v>0</v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>
        <f>IF(B195&lt;'Умови та класичний графік'!$J$14,XIRR($G$34:G196,$C$34:C196,0),"")</f>
        <v>0.2402679248046875</v>
      </c>
      <c r="X196" s="42"/>
      <c r="Y196" s="35"/>
    </row>
    <row r="197" spans="2:25" x14ac:dyDescent="0.2">
      <c r="B197" s="25">
        <v>163</v>
      </c>
      <c r="C197" s="36">
        <f>IF(B196&lt;'Умови та класичний графік'!$J$14,EDATE(C196,1),"")</f>
        <v>49157</v>
      </c>
      <c r="D197" s="36">
        <f>IF(B196&lt;'Умови та класичний графік'!$J$14,C196,"")</f>
        <v>49126</v>
      </c>
      <c r="E197" s="26">
        <f>IF(B196&lt;'Умови та класичний графік'!$J$14,C197-1,"")</f>
        <v>49156</v>
      </c>
      <c r="F197" s="37">
        <f>IF(B196&lt;'Умови та класичний графік'!$J$14,E197-D197+1,"")</f>
        <v>31</v>
      </c>
      <c r="G197" s="140">
        <f>IF(B196&lt;'Умови та класичний графік'!$J$14,-(SUM(J197:L197)),"")</f>
        <v>181728.12970921039</v>
      </c>
      <c r="H197" s="140"/>
      <c r="I197" s="32">
        <f>IF(B196&lt;'Умови та класичний графік'!$J$14,I196+J197,"")</f>
        <v>7558780.3988779699</v>
      </c>
      <c r="J197" s="32">
        <f>IF(B196&lt;'Умови та класичний графік'!$J$14,PPMT($J$20/12,B197,$J$12,$J$11,0,0),"")</f>
        <v>-45485.040585489885</v>
      </c>
      <c r="K197" s="32">
        <f>IF(B196&lt;'Умови та класичний графік'!$J$14,IPMT($J$20/12,B197,$J$12,$J$11,0,0),"")</f>
        <v>-136243.08912372051</v>
      </c>
      <c r="L197" s="30">
        <f>IF(B196&lt;'Умови та класичний графік'!$J$14,-(SUM(M197:V197)),"")</f>
        <v>0</v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>
        <f>IF(B196&lt;'Умови та класичний графік'!$J$14,XIRR($G$34:G197,$C$34:C197,0),"")</f>
        <v>0.24058341308593756</v>
      </c>
      <c r="X197" s="42"/>
      <c r="Y197" s="35"/>
    </row>
    <row r="198" spans="2:25" x14ac:dyDescent="0.2">
      <c r="B198" s="25">
        <v>164</v>
      </c>
      <c r="C198" s="36">
        <f>IF(B197&lt;'Умови та класичний графік'!$J$14,EDATE(C197,1),"")</f>
        <v>49188</v>
      </c>
      <c r="D198" s="36">
        <f>IF(B197&lt;'Умови та класичний графік'!$J$14,C197,"")</f>
        <v>49157</v>
      </c>
      <c r="E198" s="26">
        <f>IF(B197&lt;'Умови та класичний графік'!$J$14,C198-1,"")</f>
        <v>49187</v>
      </c>
      <c r="F198" s="37">
        <f>IF(B197&lt;'Умови та класичний графік'!$J$14,E198-D198+1,"")</f>
        <v>31</v>
      </c>
      <c r="G198" s="140">
        <f>IF(B197&lt;'Умови та класичний графік'!$J$14,-(SUM(J198:L198)),"")</f>
        <v>181728.12970921039</v>
      </c>
      <c r="H198" s="140"/>
      <c r="I198" s="32">
        <f>IF(B197&lt;'Умови та класичний графік'!$J$14,I197+J198,"")</f>
        <v>7512480.4179819897</v>
      </c>
      <c r="J198" s="32">
        <f>IF(B197&lt;'Умови та класичний графік'!$J$14,PPMT($J$20/12,B198,$J$12,$J$11,0,0),"")</f>
        <v>-46299.980895979919</v>
      </c>
      <c r="K198" s="32">
        <f>IF(B197&lt;'Умови та класичний графік'!$J$14,IPMT($J$20/12,B198,$J$12,$J$11,0,0),"")</f>
        <v>-135428.14881323048</v>
      </c>
      <c r="L198" s="30">
        <f>IF(B197&lt;'Умови та класичний графік'!$J$14,-(SUM(M198:V198)),"")</f>
        <v>0</v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>
        <f>IF(B197&lt;'Умови та класичний графік'!$J$14,XIRR($G$34:G198,$C$34:C198,0),"")</f>
        <v>0.24089165527343748</v>
      </c>
      <c r="X198" s="42"/>
      <c r="Y198" s="35"/>
    </row>
    <row r="199" spans="2:25" x14ac:dyDescent="0.2">
      <c r="B199" s="25">
        <v>165</v>
      </c>
      <c r="C199" s="36">
        <f>IF(B198&lt;'Умови та класичний графік'!$J$14,EDATE(C198,1),"")</f>
        <v>49218</v>
      </c>
      <c r="D199" s="36">
        <f>IF(B198&lt;'Умови та класичний графік'!$J$14,C198,"")</f>
        <v>49188</v>
      </c>
      <c r="E199" s="26">
        <f>IF(B198&lt;'Умови та класичний графік'!$J$14,C199-1,"")</f>
        <v>49217</v>
      </c>
      <c r="F199" s="37">
        <f>IF(B198&lt;'Умови та класичний графік'!$J$14,E199-D199+1,"")</f>
        <v>30</v>
      </c>
      <c r="G199" s="140">
        <f>IF(B198&lt;'Умови та класичний графік'!$J$14,-(SUM(J199:L199)),"")</f>
        <v>181728.12970921039</v>
      </c>
      <c r="H199" s="140"/>
      <c r="I199" s="32">
        <f>IF(B198&lt;'Умови та класичний графік'!$J$14,I198+J199,"")</f>
        <v>7465350.895761623</v>
      </c>
      <c r="J199" s="32">
        <f>IF(B198&lt;'Умови та класичний графік'!$J$14,PPMT($J$20/12,B199,$J$12,$J$11,0,0),"")</f>
        <v>-47129.52222036622</v>
      </c>
      <c r="K199" s="32">
        <f>IF(B198&lt;'Умови та класичний графік'!$J$14,IPMT($J$20/12,B199,$J$12,$J$11,0,0),"")</f>
        <v>-134598.60748884417</v>
      </c>
      <c r="L199" s="30">
        <f>IF(B198&lt;'Умови та класичний графік'!$J$14,-(SUM(M199:V199)),"")</f>
        <v>0</v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>
        <f>IF(B198&lt;'Умови та класичний графік'!$J$14,XIRR($G$34:G199,$C$34:C199,0),"")</f>
        <v>0.24119300292968754</v>
      </c>
      <c r="X199" s="42"/>
      <c r="Y199" s="35"/>
    </row>
    <row r="200" spans="2:25" x14ac:dyDescent="0.2">
      <c r="B200" s="25">
        <v>166</v>
      </c>
      <c r="C200" s="36">
        <f>IF(B199&lt;'Умови та класичний графік'!$J$14,EDATE(C199,1),"")</f>
        <v>49249</v>
      </c>
      <c r="D200" s="36">
        <f>IF(B199&lt;'Умови та класичний графік'!$J$14,C199,"")</f>
        <v>49218</v>
      </c>
      <c r="E200" s="26">
        <f>IF(B199&lt;'Умови та класичний графік'!$J$14,C200-1,"")</f>
        <v>49248</v>
      </c>
      <c r="F200" s="37">
        <f>IF(B199&lt;'Умови та класичний графік'!$J$14,E200-D200+1,"")</f>
        <v>31</v>
      </c>
      <c r="G200" s="140">
        <f>IF(B199&lt;'Умови та класичний графік'!$J$14,-(SUM(J200:L200)),"")</f>
        <v>181728.12970921039</v>
      </c>
      <c r="H200" s="140"/>
      <c r="I200" s="32">
        <f>IF(B199&lt;'Умови та класичний графік'!$J$14,I199+J200,"")</f>
        <v>7417376.9696014756</v>
      </c>
      <c r="J200" s="32">
        <f>IF(B199&lt;'Умови та класичний графік'!$J$14,PPMT($J$20/12,B200,$J$12,$J$11,0,0),"")</f>
        <v>-47973.926160147785</v>
      </c>
      <c r="K200" s="32">
        <f>IF(B199&lt;'Умови та класичний графік'!$J$14,IPMT($J$20/12,B200,$J$12,$J$11,0,0),"")</f>
        <v>-133754.2035490626</v>
      </c>
      <c r="L200" s="30">
        <f>IF(B199&lt;'Умови та класичний графік'!$J$14,-(SUM(M200:V200)),"")</f>
        <v>0</v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>
        <f>IF(B199&lt;'Умови та класичний графік'!$J$14,XIRR($G$34:G200,$C$34:C200,0),"")</f>
        <v>0.2414874658203125</v>
      </c>
      <c r="X200" s="42"/>
      <c r="Y200" s="35"/>
    </row>
    <row r="201" spans="2:25" x14ac:dyDescent="0.2">
      <c r="B201" s="25">
        <v>167</v>
      </c>
      <c r="C201" s="36">
        <f>IF(B200&lt;'Умови та класичний графік'!$J$14,EDATE(C200,1),"")</f>
        <v>49279</v>
      </c>
      <c r="D201" s="36">
        <f>IF(B200&lt;'Умови та класичний графік'!$J$14,C200,"")</f>
        <v>49249</v>
      </c>
      <c r="E201" s="26">
        <f>IF(B200&lt;'Умови та класичний графік'!$J$14,C201-1,"")</f>
        <v>49278</v>
      </c>
      <c r="F201" s="37">
        <f>IF(B200&lt;'Умови та класичний графік'!$J$14,E201-D201+1,"")</f>
        <v>30</v>
      </c>
      <c r="G201" s="140">
        <f>IF(B200&lt;'Умови та класичний графік'!$J$14,-(SUM(J201:L201)),"")</f>
        <v>181728.12970921039</v>
      </c>
      <c r="H201" s="140"/>
      <c r="I201" s="32">
        <f>IF(B200&lt;'Умови та класичний графік'!$J$14,I200+J201,"")</f>
        <v>7368543.5105976248</v>
      </c>
      <c r="J201" s="32">
        <f>IF(B200&lt;'Умови та класичний графік'!$J$14,PPMT($J$20/12,B201,$J$12,$J$11,0,0),"")</f>
        <v>-48833.459003850432</v>
      </c>
      <c r="K201" s="32">
        <f>IF(B200&lt;'Умови та класичний графік'!$J$14,IPMT($J$20/12,B201,$J$12,$J$11,0,0),"")</f>
        <v>-132894.67070535995</v>
      </c>
      <c r="L201" s="30">
        <f>IF(B200&lt;'Умови та класичний графік'!$J$14,-(SUM(M201:V201)),"")</f>
        <v>0</v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>
        <f>IF(B200&lt;'Умови та класичний графік'!$J$14,XIRR($G$34:G201,$C$34:C201,0),"")</f>
        <v>0.24177536621093754</v>
      </c>
      <c r="X201" s="42"/>
      <c r="Y201" s="35"/>
    </row>
    <row r="202" spans="2:25" x14ac:dyDescent="0.2">
      <c r="B202" s="25">
        <v>168</v>
      </c>
      <c r="C202" s="36">
        <f>IF(B201&lt;'Умови та класичний графік'!$J$14,EDATE(C201,1),"")</f>
        <v>49310</v>
      </c>
      <c r="D202" s="36">
        <f>IF(B201&lt;'Умови та класичний графік'!$J$14,C201,"")</f>
        <v>49279</v>
      </c>
      <c r="E202" s="26">
        <f>IF(B201&lt;'Умови та класичний графік'!$J$14,C202-1,"")</f>
        <v>49309</v>
      </c>
      <c r="F202" s="37">
        <f>IF(B201&lt;'Умови та класичний графік'!$J$14,E202-D202+1,"")</f>
        <v>31</v>
      </c>
      <c r="G202" s="140">
        <f>IF(B201&lt;'Умови та класичний графік'!$J$14,-(SUM(J202:L202)),"")</f>
        <v>244184.6350655703</v>
      </c>
      <c r="H202" s="140"/>
      <c r="I202" s="32">
        <f>IF(B201&lt;'Умови та класичний графік'!$J$14,I201+J202,"")</f>
        <v>7318835.1187866218</v>
      </c>
      <c r="J202" s="32">
        <f>IF(B201&lt;'Умови та класичний графік'!$J$14,PPMT($J$20/12,B202,$J$12,$J$11,0,0),"")</f>
        <v>-49708.391811002759</v>
      </c>
      <c r="K202" s="32">
        <f>IF(B201&lt;'Умови та класичний графік'!$J$14,IPMT($J$20/12,B202,$J$12,$J$11,0,0),"")</f>
        <v>-132019.73789820765</v>
      </c>
      <c r="L202" s="30">
        <f>IF(B201&lt;'Умови та класичний графік'!$J$14,-(SUM(M202:V202)),"")</f>
        <v>-62456.505356359863</v>
      </c>
      <c r="M202" s="38"/>
      <c r="N202" s="39"/>
      <c r="O202" s="39"/>
      <c r="P202" s="32"/>
      <c r="Q202" s="40"/>
      <c r="R202" s="40"/>
      <c r="S202" s="41"/>
      <c r="T202" s="41"/>
      <c r="U202" s="33">
        <f>IF(B201&lt;'Умови та класичний графік'!$J$14,('Умови та класичний графік'!$J$15*$N$18)+(I202*$N$19),"")</f>
        <v>62456.505356359863</v>
      </c>
      <c r="V202" s="41"/>
      <c r="W202" s="43">
        <f>IF(B201&lt;'Умови та класичний графік'!$J$14,XIRR($G$34:G202,$C$34:C202,0),"")</f>
        <v>0.24215312011718754</v>
      </c>
      <c r="X202" s="42"/>
      <c r="Y202" s="35"/>
    </row>
    <row r="203" spans="2:25" x14ac:dyDescent="0.2">
      <c r="B203" s="25">
        <v>169</v>
      </c>
      <c r="C203" s="36">
        <f>IF(B202&lt;'Умови та класичний графік'!$J$14,EDATE(C202,1),"")</f>
        <v>49341</v>
      </c>
      <c r="D203" s="36">
        <f>IF(B202&lt;'Умови та класичний графік'!$J$14,C202,"")</f>
        <v>49310</v>
      </c>
      <c r="E203" s="26">
        <f>IF(B202&lt;'Умови та класичний графік'!$J$14,C203-1,"")</f>
        <v>49340</v>
      </c>
      <c r="F203" s="37">
        <f>IF(B202&lt;'Умови та класичний графік'!$J$14,E203-D203+1,"")</f>
        <v>31</v>
      </c>
      <c r="G203" s="140">
        <f>IF(B202&lt;'Умови та класичний графік'!$J$14,-(SUM(J203:L203)),"")</f>
        <v>181728.12970921036</v>
      </c>
      <c r="H203" s="140"/>
      <c r="I203" s="32">
        <f>IF(B202&lt;'Умови та класичний графік'!$J$14,I202+J203,"")</f>
        <v>7268236.118289005</v>
      </c>
      <c r="J203" s="32">
        <f>IF(B202&lt;'Умови та класичний графік'!$J$14,PPMT($J$20/12,B203,$J$12,$J$11,0,0),"")</f>
        <v>-50599.000497616551</v>
      </c>
      <c r="K203" s="32">
        <f>IF(B202&lt;'Умови та класичний графік'!$J$14,IPMT($J$20/12,B203,$J$12,$J$11,0,0),"")</f>
        <v>-131129.12921159383</v>
      </c>
      <c r="L203" s="30">
        <f>IF(B202&lt;'Умови та класичний графік'!$J$14,-(SUM(M203:V203)),"")</f>
        <v>0</v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>
        <f>IF(B202&lt;'Умови та класичний графік'!$J$14,XIRR($G$34:G203,$C$34:C203,0),"")</f>
        <v>0.24242764160156249</v>
      </c>
      <c r="X203" s="42"/>
      <c r="Y203" s="35"/>
    </row>
    <row r="204" spans="2:25" x14ac:dyDescent="0.2">
      <c r="B204" s="25">
        <v>170</v>
      </c>
      <c r="C204" s="36">
        <f>IF(B203&lt;'Умови та класичний графік'!$J$14,EDATE(C203,1),"")</f>
        <v>49369</v>
      </c>
      <c r="D204" s="36">
        <f>IF(B203&lt;'Умови та класичний графік'!$J$14,C203,"")</f>
        <v>49341</v>
      </c>
      <c r="E204" s="26">
        <f>IF(B203&lt;'Умови та класичний графік'!$J$14,C204-1,"")</f>
        <v>49368</v>
      </c>
      <c r="F204" s="37">
        <f>IF(B203&lt;'Умови та класичний графік'!$J$14,E204-D204+1,"")</f>
        <v>28</v>
      </c>
      <c r="G204" s="140">
        <f>IF(B203&lt;'Умови та класичний графік'!$J$14,-(SUM(J204:L204)),"")</f>
        <v>181728.12970921036</v>
      </c>
      <c r="H204" s="140"/>
      <c r="I204" s="32">
        <f>IF(B203&lt;'Умови та класичний графік'!$J$14,I203+J204,"")</f>
        <v>7216730.552365806</v>
      </c>
      <c r="J204" s="32">
        <f>IF(B203&lt;'Умови та класичний графік'!$J$14,PPMT($J$20/12,B204,$J$12,$J$11,0,0),"")</f>
        <v>-51505.565923198854</v>
      </c>
      <c r="K204" s="32">
        <f>IF(B203&lt;'Умови та класичний графік'!$J$14,IPMT($J$20/12,B204,$J$12,$J$11,0,0),"")</f>
        <v>-130222.56378601152</v>
      </c>
      <c r="L204" s="30">
        <f>IF(B203&lt;'Умови та класичний графік'!$J$14,-(SUM(M204:V204)),"")</f>
        <v>0</v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>
        <f>IF(B203&lt;'Умови та класичний графік'!$J$14,XIRR($G$34:G204,$C$34:C204,0),"")</f>
        <v>0.24269643066406249</v>
      </c>
      <c r="X204" s="42"/>
      <c r="Y204" s="35"/>
    </row>
    <row r="205" spans="2:25" x14ac:dyDescent="0.2">
      <c r="B205" s="25">
        <v>171</v>
      </c>
      <c r="C205" s="36">
        <f>IF(B204&lt;'Умови та класичний графік'!$J$14,EDATE(C204,1),"")</f>
        <v>49400</v>
      </c>
      <c r="D205" s="36">
        <f>IF(B204&lt;'Умови та класичний графік'!$J$14,C204,"")</f>
        <v>49369</v>
      </c>
      <c r="E205" s="26">
        <f>IF(B204&lt;'Умови та класичний графік'!$J$14,C205-1,"")</f>
        <v>49399</v>
      </c>
      <c r="F205" s="37">
        <f>IF(B204&lt;'Умови та класичний графік'!$J$14,E205-D205+1,"")</f>
        <v>31</v>
      </c>
      <c r="G205" s="140">
        <f>IF(B204&lt;'Умови та класичний графік'!$J$14,-(SUM(J205:L205)),"")</f>
        <v>181728.12970921036</v>
      </c>
      <c r="H205" s="140"/>
      <c r="I205" s="32">
        <f>IF(B204&lt;'Умови та класичний графік'!$J$14,I204+J205,"")</f>
        <v>7164302.1783864833</v>
      </c>
      <c r="J205" s="32">
        <f>IF(B204&lt;'Умови та класичний графік'!$J$14,PPMT($J$20/12,B205,$J$12,$J$11,0,0),"")</f>
        <v>-52428.373979322823</v>
      </c>
      <c r="K205" s="32">
        <f>IF(B204&lt;'Умови та класичний графік'!$J$14,IPMT($J$20/12,B205,$J$12,$J$11,0,0),"")</f>
        <v>-129299.75572988755</v>
      </c>
      <c r="L205" s="30">
        <f>IF(B204&lt;'Умови та класичний графік'!$J$14,-(SUM(M205:V205)),"")</f>
        <v>0</v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>
        <f>IF(B204&lt;'Умови та класичний графік'!$J$14,XIRR($G$34:G205,$C$34:C205,0),"")</f>
        <v>0.24295912597656255</v>
      </c>
      <c r="X205" s="42"/>
      <c r="Y205" s="35"/>
    </row>
    <row r="206" spans="2:25" x14ac:dyDescent="0.2">
      <c r="B206" s="25">
        <v>172</v>
      </c>
      <c r="C206" s="36">
        <f>IF(B205&lt;'Умови та класичний графік'!$J$14,EDATE(C205,1),"")</f>
        <v>49430</v>
      </c>
      <c r="D206" s="36">
        <f>IF(B205&lt;'Умови та класичний графік'!$J$14,C205,"")</f>
        <v>49400</v>
      </c>
      <c r="E206" s="26">
        <f>IF(B205&lt;'Умови та класичний графік'!$J$14,C206-1,"")</f>
        <v>49429</v>
      </c>
      <c r="F206" s="37">
        <f>IF(B205&lt;'Умови та класичний графік'!$J$14,E206-D206+1,"")</f>
        <v>30</v>
      </c>
      <c r="G206" s="140">
        <f>IF(B205&lt;'Умови та класичний графік'!$J$14,-(SUM(J206:L206)),"")</f>
        <v>181728.12970921036</v>
      </c>
      <c r="H206" s="140"/>
      <c r="I206" s="32">
        <f>IF(B205&lt;'Умови та класичний графік'!$J$14,I205+J206,"")</f>
        <v>7110934.4627066981</v>
      </c>
      <c r="J206" s="32">
        <f>IF(B205&lt;'Умови та класичний графік'!$J$14,PPMT($J$20/12,B206,$J$12,$J$11,0,0),"")</f>
        <v>-53367.715679785695</v>
      </c>
      <c r="K206" s="32">
        <f>IF(B205&lt;'Умови та класичний графік'!$J$14,IPMT($J$20/12,B206,$J$12,$J$11,0,0),"")</f>
        <v>-128360.41402942466</v>
      </c>
      <c r="L206" s="30">
        <f>IF(B205&lt;'Умови та класичний графік'!$J$14,-(SUM(M206:V206)),"")</f>
        <v>0</v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>
        <f>IF(B205&lt;'Умови та класичний графік'!$J$14,XIRR($G$34:G206,$C$34:C206,0),"")</f>
        <v>0.2432160595703125</v>
      </c>
      <c r="X206" s="42"/>
      <c r="Y206" s="35"/>
    </row>
    <row r="207" spans="2:25" x14ac:dyDescent="0.2">
      <c r="B207" s="25">
        <v>173</v>
      </c>
      <c r="C207" s="36">
        <f>IF(B206&lt;'Умови та класичний графік'!$J$14,EDATE(C206,1),"")</f>
        <v>49461</v>
      </c>
      <c r="D207" s="36">
        <f>IF(B206&lt;'Умови та класичний графік'!$J$14,C206,"")</f>
        <v>49430</v>
      </c>
      <c r="E207" s="26">
        <f>IF(B206&lt;'Умови та класичний графік'!$J$14,C207-1,"")</f>
        <v>49460</v>
      </c>
      <c r="F207" s="37">
        <f>IF(B206&lt;'Умови та класичний графік'!$J$14,E207-D207+1,"")</f>
        <v>31</v>
      </c>
      <c r="G207" s="140">
        <f>IF(B206&lt;'Умови та класичний графік'!$J$14,-(SUM(J207:L207)),"")</f>
        <v>181728.12970921036</v>
      </c>
      <c r="H207" s="140"/>
      <c r="I207" s="32">
        <f>IF(B206&lt;'Умови та класичний графік'!$J$14,I206+J207,"")</f>
        <v>7056610.5754543161</v>
      </c>
      <c r="J207" s="32">
        <f>IF(B206&lt;'Умови та класичний графік'!$J$14,PPMT($J$20/12,B207,$J$12,$J$11,0,0),"")</f>
        <v>-54323.887252381857</v>
      </c>
      <c r="K207" s="32">
        <f>IF(B206&lt;'Умови та класичний графік'!$J$14,IPMT($J$20/12,B207,$J$12,$J$11,0,0),"")</f>
        <v>-127404.24245682852</v>
      </c>
      <c r="L207" s="30">
        <f>IF(B206&lt;'Умови та класичний графік'!$J$14,-(SUM(M207:V207)),"")</f>
        <v>0</v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>
        <f>IF(B206&lt;'Умови та класичний графік'!$J$14,XIRR($G$34:G207,$C$34:C207,0),"")</f>
        <v>0.24346720214843753</v>
      </c>
      <c r="X207" s="42"/>
      <c r="Y207" s="35"/>
    </row>
    <row r="208" spans="2:25" x14ac:dyDescent="0.2">
      <c r="B208" s="25">
        <v>174</v>
      </c>
      <c r="C208" s="36">
        <f>IF(B207&lt;'Умови та класичний графік'!$J$14,EDATE(C207,1),"")</f>
        <v>49491</v>
      </c>
      <c r="D208" s="36">
        <f>IF(B207&lt;'Умови та класичний графік'!$J$14,C207,"")</f>
        <v>49461</v>
      </c>
      <c r="E208" s="26">
        <f>IF(B207&lt;'Умови та класичний графік'!$J$14,C208-1,"")</f>
        <v>49490</v>
      </c>
      <c r="F208" s="37">
        <f>IF(B207&lt;'Умови та класичний графік'!$J$14,E208-D208+1,"")</f>
        <v>30</v>
      </c>
      <c r="G208" s="140">
        <f>IF(B207&lt;'Умови та класичний графік'!$J$14,-(SUM(J208:L208)),"")</f>
        <v>181728.12970921036</v>
      </c>
      <c r="H208" s="140"/>
      <c r="I208" s="32">
        <f>IF(B207&lt;'Умови та класичний графік'!$J$14,I207+J208,"")</f>
        <v>7001313.3852219954</v>
      </c>
      <c r="J208" s="32">
        <f>IF(B207&lt;'Умови та класичний графік'!$J$14,PPMT($J$20/12,B208,$J$12,$J$11,0,0),"")</f>
        <v>-55297.190232320354</v>
      </c>
      <c r="K208" s="32">
        <f>IF(B207&lt;'Умови та класичний графік'!$J$14,IPMT($J$20/12,B208,$J$12,$J$11,0,0),"")</f>
        <v>-126430.93947689002</v>
      </c>
      <c r="L208" s="30">
        <f>IF(B207&lt;'Умови та класичний графік'!$J$14,-(SUM(M208:V208)),"")</f>
        <v>0</v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>
        <f>IF(B207&lt;'Умови та класичний графік'!$J$14,XIRR($G$34:G208,$C$34:C208,0),"")</f>
        <v>0.24371284667968757</v>
      </c>
      <c r="X208" s="42"/>
      <c r="Y208" s="35"/>
    </row>
    <row r="209" spans="2:25" x14ac:dyDescent="0.2">
      <c r="B209" s="25">
        <v>175</v>
      </c>
      <c r="C209" s="36">
        <f>IF(B208&lt;'Умови та класичний графік'!$J$14,EDATE(C208,1),"")</f>
        <v>49522</v>
      </c>
      <c r="D209" s="36">
        <f>IF(B208&lt;'Умови та класичний графік'!$J$14,C208,"")</f>
        <v>49491</v>
      </c>
      <c r="E209" s="26">
        <f>IF(B208&lt;'Умови та класичний графік'!$J$14,C209-1,"")</f>
        <v>49521</v>
      </c>
      <c r="F209" s="37">
        <f>IF(B208&lt;'Умови та класичний графік'!$J$14,E209-D209+1,"")</f>
        <v>31</v>
      </c>
      <c r="G209" s="140">
        <f>IF(B208&lt;'Умови та класичний графік'!$J$14,-(SUM(J209:L209)),"")</f>
        <v>181728.12970921039</v>
      </c>
      <c r="H209" s="140"/>
      <c r="I209" s="32">
        <f>IF(B208&lt;'Умови та класичний графік'!$J$14,I208+J209,"")</f>
        <v>6945025.4536646791</v>
      </c>
      <c r="J209" s="32">
        <f>IF(B208&lt;'Умови та класичний графік'!$J$14,PPMT($J$20/12,B209,$J$12,$J$11,0,0),"")</f>
        <v>-56287.9315573161</v>
      </c>
      <c r="K209" s="32">
        <f>IF(B208&lt;'Умови та класичний графік'!$J$14,IPMT($J$20/12,B209,$J$12,$J$11,0,0),"")</f>
        <v>-125440.19815189429</v>
      </c>
      <c r="L209" s="30">
        <f>IF(B208&lt;'Умови та класичний графік'!$J$14,-(SUM(M209:V209)),"")</f>
        <v>0</v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>
        <f>IF(B208&lt;'Умови та класичний графік'!$J$14,XIRR($G$34:G209,$C$34:C209,0),"")</f>
        <v>0.24395298339843757</v>
      </c>
      <c r="X209" s="42"/>
      <c r="Y209" s="35"/>
    </row>
    <row r="210" spans="2:25" x14ac:dyDescent="0.2">
      <c r="B210" s="25">
        <v>176</v>
      </c>
      <c r="C210" s="36">
        <f>IF(B209&lt;'Умови та класичний графік'!$J$14,EDATE(C209,1),"")</f>
        <v>49553</v>
      </c>
      <c r="D210" s="36">
        <f>IF(B209&lt;'Умови та класичний графік'!$J$14,C209,"")</f>
        <v>49522</v>
      </c>
      <c r="E210" s="26">
        <f>IF(B209&lt;'Умови та класичний графік'!$J$14,C210-1,"")</f>
        <v>49552</v>
      </c>
      <c r="F210" s="37">
        <f>IF(B209&lt;'Умови та класичний графік'!$J$14,E210-D210+1,"")</f>
        <v>31</v>
      </c>
      <c r="G210" s="140">
        <f>IF(B209&lt;'Умови та класичний графік'!$J$14,-(SUM(J210:L210)),"")</f>
        <v>181728.12970921039</v>
      </c>
      <c r="H210" s="140"/>
      <c r="I210" s="32">
        <f>IF(B209&lt;'Умови та класичний графік'!$J$14,I209+J210,"")</f>
        <v>6887729.0300002946</v>
      </c>
      <c r="J210" s="32">
        <f>IF(B209&lt;'Умови та класичний графік'!$J$14,PPMT($J$20/12,B210,$J$12,$J$11,0,0),"")</f>
        <v>-57296.423664384682</v>
      </c>
      <c r="K210" s="32">
        <f>IF(B209&lt;'Умови та класичний графік'!$J$14,IPMT($J$20/12,B210,$J$12,$J$11,0,0),"")</f>
        <v>-124431.70604482571</v>
      </c>
      <c r="L210" s="30">
        <f>IF(B209&lt;'Умови та класичний графік'!$J$14,-(SUM(M210:V210)),"")</f>
        <v>0</v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>
        <f>IF(B209&lt;'Умови та класичний графік'!$J$14,XIRR($G$34:G210,$C$34:C210,0),"")</f>
        <v>0.24418774902343754</v>
      </c>
      <c r="X210" s="42"/>
      <c r="Y210" s="35"/>
    </row>
    <row r="211" spans="2:25" x14ac:dyDescent="0.2">
      <c r="B211" s="25">
        <v>177</v>
      </c>
      <c r="C211" s="36">
        <f>IF(B210&lt;'Умови та класичний графік'!$J$14,EDATE(C210,1),"")</f>
        <v>49583</v>
      </c>
      <c r="D211" s="36">
        <f>IF(B210&lt;'Умови та класичний графік'!$J$14,C210,"")</f>
        <v>49553</v>
      </c>
      <c r="E211" s="26">
        <f>IF(B210&lt;'Умови та класичний графік'!$J$14,C211-1,"")</f>
        <v>49582</v>
      </c>
      <c r="F211" s="37">
        <f>IF(B210&lt;'Умови та класичний графік'!$J$14,E211-D211+1,"")</f>
        <v>30</v>
      </c>
      <c r="G211" s="140">
        <f>IF(B210&lt;'Умови та класичний графік'!$J$14,-(SUM(J211:L211)),"")</f>
        <v>181728.12970921036</v>
      </c>
      <c r="H211" s="140"/>
      <c r="I211" s="32">
        <f>IF(B210&lt;'Умови та класичний графік'!$J$14,I210+J211,"")</f>
        <v>6829406.045411923</v>
      </c>
      <c r="J211" s="32">
        <f>IF(B210&lt;'Умови та класичний графік'!$J$14,PPMT($J$20/12,B211,$J$12,$J$11,0,0),"")</f>
        <v>-58322.984588371575</v>
      </c>
      <c r="K211" s="32">
        <f>IF(B210&lt;'Умови та класичний графік'!$J$14,IPMT($J$20/12,B211,$J$12,$J$11,0,0),"")</f>
        <v>-123405.1451208388</v>
      </c>
      <c r="L211" s="30">
        <f>IF(B210&lt;'Умови та класичний графік'!$J$14,-(SUM(M211:V211)),"")</f>
        <v>0</v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>
        <f>IF(B210&lt;'Умови та класичний графік'!$J$14,XIRR($G$34:G211,$C$34:C211,0),"")</f>
        <v>0.2444174169921875</v>
      </c>
      <c r="X211" s="42"/>
      <c r="Y211" s="35"/>
    </row>
    <row r="212" spans="2:25" x14ac:dyDescent="0.2">
      <c r="B212" s="25">
        <v>178</v>
      </c>
      <c r="C212" s="36">
        <f>IF(B211&lt;'Умови та класичний графік'!$J$14,EDATE(C211,1),"")</f>
        <v>49614</v>
      </c>
      <c r="D212" s="36">
        <f>IF(B211&lt;'Умови та класичний графік'!$J$14,C211,"")</f>
        <v>49583</v>
      </c>
      <c r="E212" s="26">
        <f>IF(B211&lt;'Умови та класичний графік'!$J$14,C212-1,"")</f>
        <v>49613</v>
      </c>
      <c r="F212" s="37">
        <f>IF(B211&lt;'Умови та класичний графік'!$J$14,E212-D212+1,"")</f>
        <v>31</v>
      </c>
      <c r="G212" s="140">
        <f>IF(B211&lt;'Умови та класичний графік'!$J$14,-(SUM(J212:L212)),"")</f>
        <v>181728.12970921039</v>
      </c>
      <c r="H212" s="140"/>
      <c r="I212" s="32">
        <f>IF(B211&lt;'Умови та класичний графік'!$J$14,I211+J212,"")</f>
        <v>6770038.1073496761</v>
      </c>
      <c r="J212" s="32">
        <f>IF(B211&lt;'Умови та класичний графік'!$J$14,PPMT($J$20/12,B212,$J$12,$J$11,0,0),"")</f>
        <v>-59367.938062246576</v>
      </c>
      <c r="K212" s="32">
        <f>IF(B211&lt;'Умови та класичний графік'!$J$14,IPMT($J$20/12,B212,$J$12,$J$11,0,0),"")</f>
        <v>-122360.19164696381</v>
      </c>
      <c r="L212" s="30">
        <f>IF(B211&lt;'Умови та класичний графік'!$J$14,-(SUM(M212:V212)),"")</f>
        <v>0</v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>
        <f>IF(B211&lt;'Умови та класичний графік'!$J$14,XIRR($G$34:G212,$C$34:C212,0),"")</f>
        <v>0.24464195800781252</v>
      </c>
      <c r="X212" s="42"/>
      <c r="Y212" s="35"/>
    </row>
    <row r="213" spans="2:25" x14ac:dyDescent="0.2">
      <c r="B213" s="25">
        <v>179</v>
      </c>
      <c r="C213" s="36">
        <f>IF(B212&lt;'Умови та класичний графік'!$J$14,EDATE(C212,1),"")</f>
        <v>49644</v>
      </c>
      <c r="D213" s="36">
        <f>IF(B212&lt;'Умови та класичний графік'!$J$14,C212,"")</f>
        <v>49614</v>
      </c>
      <c r="E213" s="26">
        <f>IF(B212&lt;'Умови та класичний графік'!$J$14,C213-1,"")</f>
        <v>49643</v>
      </c>
      <c r="F213" s="37">
        <f>IF(B212&lt;'Умови та класичний графік'!$J$14,E213-D213+1,"")</f>
        <v>30</v>
      </c>
      <c r="G213" s="140">
        <f>IF(B212&lt;'Умови та класичний графік'!$J$14,-(SUM(J213:L213)),"")</f>
        <v>181728.12970921036</v>
      </c>
      <c r="H213" s="140"/>
      <c r="I213" s="32">
        <f>IF(B212&lt;'Умови та класичний графік'!$J$14,I212+J213,"")</f>
        <v>6709606.4937304808</v>
      </c>
      <c r="J213" s="32">
        <f>IF(B212&lt;'Умови та класичний графік'!$J$14,PPMT($J$20/12,B213,$J$12,$J$11,0,0),"")</f>
        <v>-60431.613619195152</v>
      </c>
      <c r="K213" s="32">
        <f>IF(B212&lt;'Умови та класичний графік'!$J$14,IPMT($J$20/12,B213,$J$12,$J$11,0,0),"")</f>
        <v>-121296.51609001523</v>
      </c>
      <c r="L213" s="30">
        <f>IF(B212&lt;'Умови та класичний графік'!$J$14,-(SUM(M213:V213)),"")</f>
        <v>0</v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>
        <f>IF(B212&lt;'Умови та класичний графік'!$J$14,XIRR($G$34:G213,$C$34:C213,0),"")</f>
        <v>0.24486164550781253</v>
      </c>
      <c r="X213" s="42"/>
      <c r="Y213" s="35"/>
    </row>
    <row r="214" spans="2:25" x14ac:dyDescent="0.2">
      <c r="B214" s="25">
        <v>180</v>
      </c>
      <c r="C214" s="36">
        <f>IF(B213&lt;'Умови та класичний графік'!$J$14,EDATE(C213,1),"")</f>
        <v>49675</v>
      </c>
      <c r="D214" s="36">
        <f>IF(B213&lt;'Умови та класичний графік'!$J$14,C213,"")</f>
        <v>49644</v>
      </c>
      <c r="E214" s="26">
        <f>IF(B213&lt;'Умови та класичний графік'!$J$14,C214-1,"")</f>
        <v>49674</v>
      </c>
      <c r="F214" s="37">
        <f>IF(B213&lt;'Умови та класичний графік'!$J$14,E214-D214+1,"")</f>
        <v>31</v>
      </c>
      <c r="G214" s="140">
        <f>IF(B213&lt;'Умови та класичний графік'!$J$14,-(SUM(J214:L214)),"")</f>
        <v>242172.40615031222</v>
      </c>
      <c r="H214" s="140"/>
      <c r="I214" s="32">
        <f>IF(B213&lt;'Умови та класичний графік'!$J$14,I213+J214,"")</f>
        <v>6648092.1470339419</v>
      </c>
      <c r="J214" s="32">
        <f>IF(B213&lt;'Умови та класичний графік'!$J$14,PPMT($J$20/12,B214,$J$12,$J$11,0,0),"")</f>
        <v>-61514.346696539062</v>
      </c>
      <c r="K214" s="32">
        <f>IF(B213&lt;'Умови та класичний графік'!$J$14,IPMT($J$20/12,B214,$J$12,$J$11,0,0),"")</f>
        <v>-120213.78301267132</v>
      </c>
      <c r="L214" s="30">
        <f>IF(B213&lt;'Умови та класичний графік'!$J$14,-(SUM(M214:V214)),"")</f>
        <v>-60444.276441101829</v>
      </c>
      <c r="M214" s="38"/>
      <c r="N214" s="39"/>
      <c r="O214" s="39"/>
      <c r="P214" s="32"/>
      <c r="Q214" s="40"/>
      <c r="R214" s="40"/>
      <c r="S214" s="41"/>
      <c r="T214" s="41"/>
      <c r="U214" s="33">
        <f>IF(B213&lt;'Умови та класичний графік'!$J$14,('Умови та класичний графік'!$J$15*$N$18)+(I214*$N$19),"")</f>
        <v>60444.276441101829</v>
      </c>
      <c r="V214" s="41"/>
      <c r="W214" s="43">
        <f>IF(B213&lt;'Умови та класичний графік'!$J$14,XIRR($G$34:G214,$C$34:C214,0),"")</f>
        <v>0.24514771972656252</v>
      </c>
      <c r="X214" s="42"/>
      <c r="Y214" s="35"/>
    </row>
    <row r="215" spans="2:25" x14ac:dyDescent="0.2">
      <c r="B215" s="25">
        <v>181</v>
      </c>
      <c r="C215" s="36">
        <f>IF(B214&lt;'Умови та класичний графік'!$J$14,EDATE(C214,1),"")</f>
        <v>49706</v>
      </c>
      <c r="D215" s="36">
        <f>IF(B214&lt;'Умови та класичний графік'!$J$14,C214,"")</f>
        <v>49675</v>
      </c>
      <c r="E215" s="26">
        <f>IF(B214&lt;'Умови та класичний графік'!$J$14,C215-1,"")</f>
        <v>49705</v>
      </c>
      <c r="F215" s="37">
        <f>IF(B214&lt;'Умови та класичний графік'!$J$14,E215-D215+1,"")</f>
        <v>31</v>
      </c>
      <c r="G215" s="140">
        <f>IF(B214&lt;'Умови та класичний графік'!$J$14,-(SUM(J215:L215)),"")</f>
        <v>181728.12970921036</v>
      </c>
      <c r="H215" s="140"/>
      <c r="I215" s="32">
        <f>IF(B214&lt;'Умови та класичний графік'!$J$14,I214+J215,"")</f>
        <v>6585475.6682924228</v>
      </c>
      <c r="J215" s="32">
        <f>IF(B214&lt;'Умови та класичний графік'!$J$14,PPMT($J$20/12,B215,$J$12,$J$11,0,0),"")</f>
        <v>-62616.478741518717</v>
      </c>
      <c r="K215" s="32">
        <f>IF(B214&lt;'Умови та класичний графік'!$J$14,IPMT($J$20/12,B215,$J$12,$J$11,0,0),"")</f>
        <v>-119111.65096769166</v>
      </c>
      <c r="L215" s="30">
        <f>IF(B214&lt;'Умови та класичний графік'!$J$14,-(SUM(M215:V215)),"")</f>
        <v>0</v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>
        <f>IF(B214&lt;'Умови та класичний графік'!$J$14,XIRR($G$34:G215,$C$34:C215,0),"")</f>
        <v>0.24535749511718757</v>
      </c>
      <c r="X215" s="42"/>
      <c r="Y215" s="35"/>
    </row>
    <row r="216" spans="2:25" x14ac:dyDescent="0.2">
      <c r="B216" s="25">
        <v>182</v>
      </c>
      <c r="C216" s="36">
        <f>IF(B215&lt;'Умови та класичний графік'!$J$14,EDATE(C215,1),"")</f>
        <v>49735</v>
      </c>
      <c r="D216" s="36">
        <f>IF(B215&lt;'Умови та класичний графік'!$J$14,C215,"")</f>
        <v>49706</v>
      </c>
      <c r="E216" s="26">
        <f>IF(B215&lt;'Умови та класичний графік'!$J$14,C216-1,"")</f>
        <v>49734</v>
      </c>
      <c r="F216" s="37">
        <f>IF(B215&lt;'Умови та класичний графік'!$J$14,E216-D216+1,"")</f>
        <v>29</v>
      </c>
      <c r="G216" s="140">
        <f>IF(B215&lt;'Умови та класичний графік'!$J$14,-(SUM(J216:L216)),"")</f>
        <v>181728.12970921039</v>
      </c>
      <c r="H216" s="140"/>
      <c r="I216" s="32">
        <f>IF(B215&lt;'Умови та класичний графік'!$J$14,I215+J216,"")</f>
        <v>6521737.3109734515</v>
      </c>
      <c r="J216" s="32">
        <f>IF(B215&lt;'Умови та класичний графік'!$J$14,PPMT($J$20/12,B216,$J$12,$J$11,0,0),"")</f>
        <v>-63738.357318970928</v>
      </c>
      <c r="K216" s="32">
        <f>IF(B215&lt;'Умови та класичний графік'!$J$14,IPMT($J$20/12,B216,$J$12,$J$11,0,0),"")</f>
        <v>-117989.77239023946</v>
      </c>
      <c r="L216" s="30">
        <f>IF(B215&lt;'Умови та класичний графік'!$J$14,-(SUM(M216:V216)),"")</f>
        <v>0</v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>
        <f>IF(B215&lt;'Умови та класичний графік'!$J$14,XIRR($G$34:G216,$C$34:C216,0),"")</f>
        <v>0.24556289550781257</v>
      </c>
      <c r="X216" s="42"/>
      <c r="Y216" s="35"/>
    </row>
    <row r="217" spans="2:25" x14ac:dyDescent="0.2">
      <c r="B217" s="25">
        <v>183</v>
      </c>
      <c r="C217" s="36">
        <f>IF(B216&lt;'Умови та класичний графік'!$J$14,EDATE(C216,1),"")</f>
        <v>49766</v>
      </c>
      <c r="D217" s="36">
        <f>IF(B216&lt;'Умови та класичний графік'!$J$14,C216,"")</f>
        <v>49735</v>
      </c>
      <c r="E217" s="26">
        <f>IF(B216&lt;'Умови та класичний графік'!$J$14,C217-1,"")</f>
        <v>49765</v>
      </c>
      <c r="F217" s="37">
        <f>IF(B216&lt;'Умови та класичний графік'!$J$14,E217-D217+1,"")</f>
        <v>31</v>
      </c>
      <c r="G217" s="140">
        <f>IF(B216&lt;'Умови та класичний графік'!$J$14,-(SUM(J217:L217)),"")</f>
        <v>181728.12970921036</v>
      </c>
      <c r="H217" s="140"/>
      <c r="I217" s="32">
        <f>IF(B216&lt;'Умови та класичний графік'!$J$14,I216+J217,"")</f>
        <v>6456856.9747525156</v>
      </c>
      <c r="J217" s="32">
        <f>IF(B216&lt;'Умови та класичний графік'!$J$14,PPMT($J$20/12,B217,$J$12,$J$11,0,0),"")</f>
        <v>-64880.336220935831</v>
      </c>
      <c r="K217" s="32">
        <f>IF(B216&lt;'Умови та класичний графік'!$J$14,IPMT($J$20/12,B217,$J$12,$J$11,0,0),"")</f>
        <v>-116847.79348827455</v>
      </c>
      <c r="L217" s="30">
        <f>IF(B216&lt;'Умови та класичний графік'!$J$14,-(SUM(M217:V217)),"")</f>
        <v>0</v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>
        <f>IF(B216&lt;'Умови та класичний графік'!$J$14,XIRR($G$34:G217,$C$34:C217,0),"")</f>
        <v>0.24576375488281255</v>
      </c>
      <c r="X217" s="42"/>
      <c r="Y217" s="35"/>
    </row>
    <row r="218" spans="2:25" x14ac:dyDescent="0.2">
      <c r="B218" s="25">
        <v>184</v>
      </c>
      <c r="C218" s="36">
        <f>IF(B217&lt;'Умови та класичний графік'!$J$14,EDATE(C217,1),"")</f>
        <v>49796</v>
      </c>
      <c r="D218" s="36">
        <f>IF(B217&lt;'Умови та класичний графік'!$J$14,C217,"")</f>
        <v>49766</v>
      </c>
      <c r="E218" s="26">
        <f>IF(B217&lt;'Умови та класичний графік'!$J$14,C218-1,"")</f>
        <v>49795</v>
      </c>
      <c r="F218" s="37">
        <f>IF(B217&lt;'Умови та класичний графік'!$J$14,E218-D218+1,"")</f>
        <v>30</v>
      </c>
      <c r="G218" s="140">
        <f>IF(B217&lt;'Умови та класичний графік'!$J$14,-(SUM(J218:L218)),"")</f>
        <v>181728.12970921036</v>
      </c>
      <c r="H218" s="140"/>
      <c r="I218" s="32">
        <f>IF(B217&lt;'Умови та класичний графік'!$J$14,I217+J218,"")</f>
        <v>6390814.1991742877</v>
      </c>
      <c r="J218" s="32">
        <f>IF(B217&lt;'Умови та класичний графік'!$J$14,PPMT($J$20/12,B218,$J$12,$J$11,0,0),"")</f>
        <v>-66042.775578227593</v>
      </c>
      <c r="K218" s="32">
        <f>IF(B217&lt;'Умови та класичний графік'!$J$14,IPMT($J$20/12,B218,$J$12,$J$11,0,0),"")</f>
        <v>-115685.35413098277</v>
      </c>
      <c r="L218" s="30">
        <f>IF(B217&lt;'Умови та класичний графік'!$J$14,-(SUM(M218:V218)),"")</f>
        <v>0</v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>
        <f>IF(B217&lt;'Умови та класичний графік'!$J$14,XIRR($G$34:G218,$C$34:C218,0),"")</f>
        <v>0.24596030761718751</v>
      </c>
      <c r="X218" s="42"/>
      <c r="Y218" s="35"/>
    </row>
    <row r="219" spans="2:25" x14ac:dyDescent="0.2">
      <c r="B219" s="25">
        <v>185</v>
      </c>
      <c r="C219" s="36">
        <f>IF(B218&lt;'Умови та класичний графік'!$J$14,EDATE(C218,1),"")</f>
        <v>49827</v>
      </c>
      <c r="D219" s="36">
        <f>IF(B218&lt;'Умови та класичний графік'!$J$14,C218,"")</f>
        <v>49796</v>
      </c>
      <c r="E219" s="26">
        <f>IF(B218&lt;'Умови та класичний графік'!$J$14,C219-1,"")</f>
        <v>49826</v>
      </c>
      <c r="F219" s="37">
        <f>IF(B218&lt;'Умови та класичний графік'!$J$14,E219-D219+1,"")</f>
        <v>31</v>
      </c>
      <c r="G219" s="140">
        <f>IF(B218&lt;'Умови та класичний графік'!$J$14,-(SUM(J219:L219)),"")</f>
        <v>181728.12970921036</v>
      </c>
      <c r="H219" s="140"/>
      <c r="I219" s="32">
        <f>IF(B218&lt;'Умови та класичний графік'!$J$14,I218+J219,"")</f>
        <v>6323588.1572002834</v>
      </c>
      <c r="J219" s="32">
        <f>IF(B218&lt;'Умови та класичний графік'!$J$14,PPMT($J$20/12,B219,$J$12,$J$11,0,0),"")</f>
        <v>-67226.041974004169</v>
      </c>
      <c r="K219" s="32">
        <f>IF(B218&lt;'Умови та класичний графік'!$J$14,IPMT($J$20/12,B219,$J$12,$J$11,0,0),"")</f>
        <v>-114502.08773520619</v>
      </c>
      <c r="L219" s="30">
        <f>IF(B218&lt;'Умови та класичний графік'!$J$14,-(SUM(M219:V219)),"")</f>
        <v>0</v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>
        <f>IF(B218&lt;'Умови та класичний графік'!$J$14,XIRR($G$34:G219,$C$34:C219,0),"")</f>
        <v>0.2461525439453125</v>
      </c>
      <c r="X219" s="42"/>
      <c r="Y219" s="35"/>
    </row>
    <row r="220" spans="2:25" x14ac:dyDescent="0.2">
      <c r="B220" s="25">
        <v>186</v>
      </c>
      <c r="C220" s="36">
        <f>IF(B219&lt;'Умови та класичний графік'!$J$14,EDATE(C219,1),"")</f>
        <v>49857</v>
      </c>
      <c r="D220" s="36">
        <f>IF(B219&lt;'Умови та класичний графік'!$J$14,C219,"")</f>
        <v>49827</v>
      </c>
      <c r="E220" s="26">
        <f>IF(B219&lt;'Умови та класичний графік'!$J$14,C220-1,"")</f>
        <v>49856</v>
      </c>
      <c r="F220" s="37">
        <f>IF(B219&lt;'Умови та класичний графік'!$J$14,E220-D220+1,"")</f>
        <v>30</v>
      </c>
      <c r="G220" s="140">
        <f>IF(B219&lt;'Умови та класичний графік'!$J$14,-(SUM(J220:L220)),"")</f>
        <v>181728.12970921039</v>
      </c>
      <c r="H220" s="140"/>
      <c r="I220" s="32">
        <f>IF(B219&lt;'Умови та класичний графік'!$J$14,I219+J220,"")</f>
        <v>6255157.648640912</v>
      </c>
      <c r="J220" s="32">
        <f>IF(B219&lt;'Умови та класичний графік'!$J$14,PPMT($J$20/12,B220,$J$12,$J$11,0,0),"")</f>
        <v>-68430.508559371752</v>
      </c>
      <c r="K220" s="32">
        <f>IF(B219&lt;'Умови та класичний графік'!$J$14,IPMT($J$20/12,B220,$J$12,$J$11,0,0),"")</f>
        <v>-113297.62114983864</v>
      </c>
      <c r="L220" s="30">
        <f>IF(B219&lt;'Умови та класичний графік'!$J$14,-(SUM(M220:V220)),"")</f>
        <v>0</v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>
        <f>IF(B219&lt;'Умови та класичний графік'!$J$14,XIRR($G$34:G220,$C$34:C220,0),"")</f>
        <v>0.24634067871093757</v>
      </c>
      <c r="X220" s="42"/>
      <c r="Y220" s="35"/>
    </row>
    <row r="221" spans="2:25" x14ac:dyDescent="0.2">
      <c r="B221" s="25">
        <v>187</v>
      </c>
      <c r="C221" s="36">
        <f>IF(B220&lt;'Умови та класичний графік'!$J$14,EDATE(C220,1),"")</f>
        <v>49888</v>
      </c>
      <c r="D221" s="36">
        <f>IF(B220&lt;'Умови та класичний графік'!$J$14,C220,"")</f>
        <v>49857</v>
      </c>
      <c r="E221" s="26">
        <f>IF(B220&lt;'Умови та класичний графік'!$J$14,C221-1,"")</f>
        <v>49887</v>
      </c>
      <c r="F221" s="37">
        <f>IF(B220&lt;'Умови та класичний графік'!$J$14,E221-D221+1,"")</f>
        <v>31</v>
      </c>
      <c r="G221" s="140">
        <f>IF(B220&lt;'Умови та класичний графік'!$J$14,-(SUM(J221:L221)),"")</f>
        <v>181728.12970921039</v>
      </c>
      <c r="H221" s="140"/>
      <c r="I221" s="32">
        <f>IF(B220&lt;'Умови та класичний графік'!$J$14,I220+J221,"")</f>
        <v>6185501.0934698517</v>
      </c>
      <c r="J221" s="32">
        <f>IF(B220&lt;'Умови та класичний графік'!$J$14,PPMT($J$20/12,B221,$J$12,$J$11,0,0),"")</f>
        <v>-69656.555171060492</v>
      </c>
      <c r="K221" s="32">
        <f>IF(B220&lt;'Умови та класичний графік'!$J$14,IPMT($J$20/12,B221,$J$12,$J$11,0,0),"")</f>
        <v>-112071.5745381499</v>
      </c>
      <c r="L221" s="30">
        <f>IF(B220&lt;'Умови та класичний графік'!$J$14,-(SUM(M221:V221)),"")</f>
        <v>0</v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>
        <f>IF(B220&lt;'Умови та класичний графік'!$J$14,XIRR($G$34:G221,$C$34:C221,0),"")</f>
        <v>0.24652469238281255</v>
      </c>
      <c r="X221" s="42"/>
      <c r="Y221" s="35"/>
    </row>
    <row r="222" spans="2:25" x14ac:dyDescent="0.2">
      <c r="B222" s="25">
        <v>188</v>
      </c>
      <c r="C222" s="36">
        <f>IF(B221&lt;'Умови та класичний графік'!$J$14,EDATE(C221,1),"")</f>
        <v>49919</v>
      </c>
      <c r="D222" s="36">
        <f>IF(B221&lt;'Умови та класичний графік'!$J$14,C221,"")</f>
        <v>49888</v>
      </c>
      <c r="E222" s="26">
        <f>IF(B221&lt;'Умови та класичний графік'!$J$14,C222-1,"")</f>
        <v>49918</v>
      </c>
      <c r="F222" s="37">
        <f>IF(B221&lt;'Умови та класичний графік'!$J$14,E222-D222+1,"")</f>
        <v>31</v>
      </c>
      <c r="G222" s="140">
        <f>IF(B221&lt;'Умови та класичний графік'!$J$14,-(SUM(J222:L222)),"")</f>
        <v>181728.12970921042</v>
      </c>
      <c r="H222" s="140"/>
      <c r="I222" s="32">
        <f>IF(B221&lt;'Умови та класичний графік'!$J$14,I221+J222,"")</f>
        <v>6114596.5250186427</v>
      </c>
      <c r="J222" s="32">
        <f>IF(B221&lt;'Умови та класичний графік'!$J$14,PPMT($J$20/12,B222,$J$12,$J$11,0,0),"")</f>
        <v>-70904.568451208659</v>
      </c>
      <c r="K222" s="32">
        <f>IF(B221&lt;'Умови та класичний графік'!$J$14,IPMT($J$20/12,B222,$J$12,$J$11,0,0),"")</f>
        <v>-110823.56125800175</v>
      </c>
      <c r="L222" s="30">
        <f>IF(B221&lt;'Умови та класичний графік'!$J$14,-(SUM(M222:V222)),"")</f>
        <v>0</v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>
        <f>IF(B221&lt;'Умови та класичний графік'!$J$14,XIRR($G$34:G222,$C$34:C222,0),"")</f>
        <v>0.24670468261718759</v>
      </c>
      <c r="X222" s="42"/>
      <c r="Y222" s="35"/>
    </row>
    <row r="223" spans="2:25" x14ac:dyDescent="0.2">
      <c r="B223" s="25">
        <v>189</v>
      </c>
      <c r="C223" s="36">
        <f>IF(B222&lt;'Умови та класичний графік'!$J$14,EDATE(C222,1),"")</f>
        <v>49949</v>
      </c>
      <c r="D223" s="36">
        <f>IF(B222&lt;'Умови та класичний графік'!$J$14,C222,"")</f>
        <v>49919</v>
      </c>
      <c r="E223" s="26">
        <f>IF(B222&lt;'Умови та класичний графік'!$J$14,C223-1,"")</f>
        <v>49948</v>
      </c>
      <c r="F223" s="37">
        <f>IF(B222&lt;'Умови та класичний графік'!$J$14,E223-D223+1,"")</f>
        <v>30</v>
      </c>
      <c r="G223" s="140">
        <f>IF(B222&lt;'Умови та класичний графік'!$J$14,-(SUM(J223:L223)),"")</f>
        <v>181728.12970921042</v>
      </c>
      <c r="H223" s="140"/>
      <c r="I223" s="32">
        <f>IF(B222&lt;'Умови та класичний графік'!$J$14,I222+J223,"")</f>
        <v>6042421.5830493495</v>
      </c>
      <c r="J223" s="32">
        <f>IF(B222&lt;'Умови та класичний графік'!$J$14,PPMT($J$20/12,B223,$J$12,$J$11,0,0),"")</f>
        <v>-72174.94196929282</v>
      </c>
      <c r="K223" s="32">
        <f>IF(B222&lt;'Умови та класичний графік'!$J$14,IPMT($J$20/12,B223,$J$12,$J$11,0,0),"")</f>
        <v>-109553.18773991759</v>
      </c>
      <c r="L223" s="30">
        <f>IF(B222&lt;'Умови та класичний графік'!$J$14,-(SUM(M223:V223)),"")</f>
        <v>0</v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>
        <f>IF(B222&lt;'Умови та класичний графік'!$J$14,XIRR($G$34:G223,$C$34:C223,0),"")</f>
        <v>0.24688084472656258</v>
      </c>
      <c r="X223" s="42"/>
      <c r="Y223" s="35"/>
    </row>
    <row r="224" spans="2:25" x14ac:dyDescent="0.2">
      <c r="B224" s="25">
        <v>190</v>
      </c>
      <c r="C224" s="36">
        <f>IF(B223&lt;'Умови та класичний графік'!$J$14,EDATE(C223,1),"")</f>
        <v>49980</v>
      </c>
      <c r="D224" s="36">
        <f>IF(B223&lt;'Умови та класичний графік'!$J$14,C223,"")</f>
        <v>49949</v>
      </c>
      <c r="E224" s="26">
        <f>IF(B223&lt;'Умови та класичний графік'!$J$14,C224-1,"")</f>
        <v>49979</v>
      </c>
      <c r="F224" s="37">
        <f>IF(B223&lt;'Умови та класичний графік'!$J$14,E224-D224+1,"")</f>
        <v>31</v>
      </c>
      <c r="G224" s="140">
        <f>IF(B223&lt;'Умови та класичний графік'!$J$14,-(SUM(J224:L224)),"")</f>
        <v>181728.12970921039</v>
      </c>
      <c r="H224" s="140"/>
      <c r="I224" s="32">
        <f>IF(B223&lt;'Умови та класичний графік'!$J$14,I223+J224,"")</f>
        <v>5968953.5067031067</v>
      </c>
      <c r="J224" s="32">
        <f>IF(B223&lt;'Умови та класичний графік'!$J$14,PPMT($J$20/12,B224,$J$12,$J$11,0,0),"")</f>
        <v>-73468.076346242655</v>
      </c>
      <c r="K224" s="32">
        <f>IF(B223&lt;'Умови та класичний графік'!$J$14,IPMT($J$20/12,B224,$J$12,$J$11,0,0),"")</f>
        <v>-108260.05336296774</v>
      </c>
      <c r="L224" s="30">
        <f>IF(B223&lt;'Умови та класичний графік'!$J$14,-(SUM(M224:V224)),"")</f>
        <v>0</v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>
        <f>IF(B223&lt;'Умови та класичний графік'!$J$14,XIRR($G$34:G224,$C$34:C224,0),"")</f>
        <v>0.24705317871093757</v>
      </c>
      <c r="X224" s="42"/>
      <c r="Y224" s="35"/>
    </row>
    <row r="225" spans="2:25" x14ac:dyDescent="0.2">
      <c r="B225" s="25">
        <v>191</v>
      </c>
      <c r="C225" s="36">
        <f>IF(B224&lt;'Умови та класичний графік'!$J$14,EDATE(C224,1),"")</f>
        <v>50010</v>
      </c>
      <c r="D225" s="36">
        <f>IF(B224&lt;'Умови та класичний графік'!$J$14,C224,"")</f>
        <v>49980</v>
      </c>
      <c r="E225" s="26">
        <f>IF(B224&lt;'Умови та класичний графік'!$J$14,C225-1,"")</f>
        <v>50009</v>
      </c>
      <c r="F225" s="37">
        <f>IF(B224&lt;'Умови та класичний графік'!$J$14,E225-D225+1,"")</f>
        <v>30</v>
      </c>
      <c r="G225" s="140">
        <f>IF(B224&lt;'Умови та класичний графік'!$J$14,-(SUM(J225:L225)),"")</f>
        <v>181728.12970921036</v>
      </c>
      <c r="H225" s="140"/>
      <c r="I225" s="32">
        <f>IF(B224&lt;'Умови та класичний графік'!$J$14,I224+J225,"")</f>
        <v>5894169.1273223273</v>
      </c>
      <c r="J225" s="32">
        <f>IF(B224&lt;'Умови та класичний графік'!$J$14,PPMT($J$20/12,B225,$J$12,$J$11,0,0),"")</f>
        <v>-74784.379380779486</v>
      </c>
      <c r="K225" s="32">
        <f>IF(B224&lt;'Умови та класичний графік'!$J$14,IPMT($J$20/12,B225,$J$12,$J$11,0,0),"")</f>
        <v>-106943.75032843088</v>
      </c>
      <c r="L225" s="30">
        <f>IF(B224&lt;'Умови та класичний графік'!$J$14,-(SUM(M225:V225)),"")</f>
        <v>0</v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>
        <f>IF(B224&lt;'Умови та класичний графік'!$J$14,XIRR($G$34:G225,$C$34:C225,0),"")</f>
        <v>0.24722186035156252</v>
      </c>
      <c r="X225" s="42"/>
      <c r="Y225" s="35"/>
    </row>
    <row r="226" spans="2:25" x14ac:dyDescent="0.2">
      <c r="B226" s="25">
        <v>192</v>
      </c>
      <c r="C226" s="36">
        <f>IF(B225&lt;'Умови та класичний графік'!$J$14,EDATE(C225,1),"")</f>
        <v>50041</v>
      </c>
      <c r="D226" s="36">
        <f>IF(B225&lt;'Умови та класичний графік'!$J$14,C225,"")</f>
        <v>50010</v>
      </c>
      <c r="E226" s="26">
        <f>IF(B225&lt;'Умови та класичний графік'!$J$14,C226-1,"")</f>
        <v>50040</v>
      </c>
      <c r="F226" s="37">
        <f>IF(B225&lt;'Умови та класичний графік'!$J$14,E226-D226+1,"")</f>
        <v>31</v>
      </c>
      <c r="G226" s="140">
        <f>IF(B225&lt;'Умови та класичний графік'!$J$14,-(SUM(J226:L226)),"")</f>
        <v>239682.26429264332</v>
      </c>
      <c r="H226" s="140"/>
      <c r="I226" s="32">
        <f>IF(B225&lt;'Умови та класичний графік'!$J$14,I225+J226,"")</f>
        <v>5818044.8611443089</v>
      </c>
      <c r="J226" s="32">
        <f>IF(B225&lt;'Умови та класичний графік'!$J$14,PPMT($J$20/12,B226,$J$12,$J$11,0,0),"")</f>
        <v>-76124.266178018457</v>
      </c>
      <c r="K226" s="32">
        <f>IF(B225&lt;'Умови та класичний графік'!$J$14,IPMT($J$20/12,B226,$J$12,$J$11,0,0),"")</f>
        <v>-105603.86353119194</v>
      </c>
      <c r="L226" s="30">
        <f>IF(B225&lt;'Умови та класичний графік'!$J$14,-(SUM(M226:V226)),"")</f>
        <v>-57954.134583432926</v>
      </c>
      <c r="M226" s="38"/>
      <c r="N226" s="39"/>
      <c r="O226" s="39"/>
      <c r="P226" s="32"/>
      <c r="Q226" s="40"/>
      <c r="R226" s="40"/>
      <c r="S226" s="41"/>
      <c r="T226" s="41"/>
      <c r="U226" s="33">
        <f>IF(B225&lt;'Умови та класичний графік'!$J$14,('Умови та класичний графік'!$J$15*$N$18)+(I226*$N$19),"")</f>
        <v>57954.134583432926</v>
      </c>
      <c r="V226" s="41"/>
      <c r="W226" s="43">
        <f>IF(B225&lt;'Умови та класичний графік'!$J$14,XIRR($G$34:G226,$C$34:C226,0),"")</f>
        <v>0.24743939941406251</v>
      </c>
      <c r="X226" s="42"/>
      <c r="Y226" s="35"/>
    </row>
    <row r="227" spans="2:25" x14ac:dyDescent="0.2">
      <c r="B227" s="25">
        <v>193</v>
      </c>
      <c r="C227" s="36">
        <f>IF(B226&lt;'Умови та класичний графік'!$J$14,EDATE(C226,1),"")</f>
        <v>50072</v>
      </c>
      <c r="D227" s="36">
        <f>IF(B226&lt;'Умови та класичний графік'!$J$14,C226,"")</f>
        <v>50041</v>
      </c>
      <c r="E227" s="26">
        <f>IF(B226&lt;'Умови та класичний графік'!$J$14,C227-1,"")</f>
        <v>50071</v>
      </c>
      <c r="F227" s="37">
        <f>IF(B226&lt;'Умови та класичний графік'!$J$14,E227-D227+1,"")</f>
        <v>31</v>
      </c>
      <c r="G227" s="140">
        <f>IF(B226&lt;'Умови та класичний графік'!$J$14,-(SUM(J227:L227)),"")</f>
        <v>181728.12970921039</v>
      </c>
      <c r="H227" s="140"/>
      <c r="I227" s="32">
        <f>IF(B226&lt;'Умови та класичний графік'!$J$14,I226+J227,"")</f>
        <v>5740556.7018639343</v>
      </c>
      <c r="J227" s="32">
        <f>IF(B226&lt;'Умови та класичний графік'!$J$14,PPMT($J$20/12,B227,$J$12,$J$11,0,0),"")</f>
        <v>-77488.159280374632</v>
      </c>
      <c r="K227" s="32">
        <f>IF(B226&lt;'Умови та класичний графік'!$J$14,IPMT($J$20/12,B227,$J$12,$J$11,0,0),"")</f>
        <v>-104239.97042883576</v>
      </c>
      <c r="L227" s="30">
        <f>IF(B226&lt;'Умови та класичний графік'!$J$14,-(SUM(M227:V227)),"")</f>
        <v>0</v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>
        <f>IF(B226&lt;'Умови та класичний графік'!$J$14,XIRR($G$34:G227,$C$34:C227,0),"")</f>
        <v>0.24760068847656252</v>
      </c>
      <c r="X227" s="42"/>
      <c r="Y227" s="35"/>
    </row>
    <row r="228" spans="2:25" x14ac:dyDescent="0.2">
      <c r="B228" s="25">
        <v>194</v>
      </c>
      <c r="C228" s="36">
        <f>IF(B227&lt;'Умови та класичний графік'!$J$14,EDATE(C227,1),"")</f>
        <v>50100</v>
      </c>
      <c r="D228" s="36">
        <f>IF(B227&lt;'Умови та класичний графік'!$J$14,C227,"")</f>
        <v>50072</v>
      </c>
      <c r="E228" s="26">
        <f>IF(B227&lt;'Умови та класичний графік'!$J$14,C228-1,"")</f>
        <v>50099</v>
      </c>
      <c r="F228" s="37">
        <f>IF(B227&lt;'Умови та класичний графік'!$J$14,E228-D228+1,"")</f>
        <v>28</v>
      </c>
      <c r="G228" s="140">
        <f>IF(B227&lt;'Умови та класичний графік'!$J$14,-(SUM(J228:L228)),"")</f>
        <v>181728.12970921036</v>
      </c>
      <c r="H228" s="140"/>
      <c r="I228" s="32">
        <f>IF(B227&lt;'Умови та класичний графік'!$J$14,I227+J228,"")</f>
        <v>5661680.2130631199</v>
      </c>
      <c r="J228" s="32">
        <f>IF(B227&lt;'Умови та класичний графік'!$J$14,PPMT($J$20/12,B228,$J$12,$J$11,0,0),"")</f>
        <v>-78876.488800814666</v>
      </c>
      <c r="K228" s="32">
        <f>IF(B227&lt;'Умови та класичний графік'!$J$14,IPMT($J$20/12,B228,$J$12,$J$11,0,0),"")</f>
        <v>-102851.6409083957</v>
      </c>
      <c r="L228" s="30">
        <f>IF(B227&lt;'Умови та класичний графік'!$J$14,-(SUM(M228:V228)),"")</f>
        <v>0</v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>
        <f>IF(B227&lt;'Умови та класичний графік'!$J$14,XIRR($G$34:G228,$C$34:C228,0),"")</f>
        <v>0.24775877441406252</v>
      </c>
      <c r="X228" s="42"/>
      <c r="Y228" s="35"/>
    </row>
    <row r="229" spans="2:25" x14ac:dyDescent="0.2">
      <c r="B229" s="25">
        <v>195</v>
      </c>
      <c r="C229" s="36">
        <f>IF(B228&lt;'Умови та класичний графік'!$J$14,EDATE(C228,1),"")</f>
        <v>50131</v>
      </c>
      <c r="D229" s="36">
        <f>IF(B228&lt;'Умови та класичний графік'!$J$14,C228,"")</f>
        <v>50100</v>
      </c>
      <c r="E229" s="26">
        <f>IF(B228&lt;'Умови та класичний графік'!$J$14,C229-1,"")</f>
        <v>50130</v>
      </c>
      <c r="F229" s="37">
        <f>IF(B228&lt;'Умови та класичний графік'!$J$14,E229-D229+1,"")</f>
        <v>31</v>
      </c>
      <c r="G229" s="140">
        <f>IF(B228&lt;'Умови та класичний графік'!$J$14,-(SUM(J229:L229)),"")</f>
        <v>181728.12970921036</v>
      </c>
      <c r="H229" s="140"/>
      <c r="I229" s="32">
        <f>IF(B228&lt;'Умови та класичний графік'!$J$14,I228+J229,"")</f>
        <v>5581390.5205046237</v>
      </c>
      <c r="J229" s="32">
        <f>IF(B228&lt;'Умови та класичний графік'!$J$14,PPMT($J$20/12,B229,$J$12,$J$11,0,0),"")</f>
        <v>-80289.692558495939</v>
      </c>
      <c r="K229" s="32">
        <f>IF(B228&lt;'Умови та класичний графік'!$J$14,IPMT($J$20/12,B229,$J$12,$J$11,0,0),"")</f>
        <v>-101438.43715071444</v>
      </c>
      <c r="L229" s="30">
        <f>IF(B228&lt;'Умови та класичний графік'!$J$14,-(SUM(M229:V229)),"")</f>
        <v>0</v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>
        <f>IF(B228&lt;'Умови та класичний графік'!$J$14,XIRR($G$34:G229,$C$34:C229,0),"")</f>
        <v>0.24791344238281249</v>
      </c>
      <c r="X229" s="42"/>
      <c r="Y229" s="35"/>
    </row>
    <row r="230" spans="2:25" x14ac:dyDescent="0.2">
      <c r="B230" s="25">
        <v>196</v>
      </c>
      <c r="C230" s="36">
        <f>IF(B229&lt;'Умови та класичний графік'!$J$14,EDATE(C229,1),"")</f>
        <v>50161</v>
      </c>
      <c r="D230" s="36">
        <f>IF(B229&lt;'Умови та класичний графік'!$J$14,C229,"")</f>
        <v>50131</v>
      </c>
      <c r="E230" s="26">
        <f>IF(B229&lt;'Умови та класичний графік'!$J$14,C230-1,"")</f>
        <v>50160</v>
      </c>
      <c r="F230" s="37">
        <f>IF(B229&lt;'Умови та класичний графік'!$J$14,E230-D230+1,"")</f>
        <v>30</v>
      </c>
      <c r="G230" s="140">
        <f>IF(B229&lt;'Умови та класичний графік'!$J$14,-(SUM(J230:L230)),"")</f>
        <v>181728.12970921036</v>
      </c>
      <c r="H230" s="140"/>
      <c r="I230" s="32">
        <f>IF(B229&lt;'Умови та класичний графік'!$J$14,I229+J230,"")</f>
        <v>5499662.3042877885</v>
      </c>
      <c r="J230" s="32">
        <f>IF(B229&lt;'Умови та класичний графік'!$J$14,PPMT($J$20/12,B230,$J$12,$J$11,0,0),"")</f>
        <v>-81728.216216835644</v>
      </c>
      <c r="K230" s="32">
        <f>IF(B229&lt;'Умови та класичний графік'!$J$14,IPMT($J$20/12,B230,$J$12,$J$11,0,0),"")</f>
        <v>-99999.913492374733</v>
      </c>
      <c r="L230" s="30">
        <f>IF(B229&lt;'Умови та класичний графік'!$J$14,-(SUM(M230:V230)),"")</f>
        <v>0</v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>
        <f>IF(B229&lt;'Умови та класичний графік'!$J$14,XIRR($G$34:G230,$C$34:C230,0),"")</f>
        <v>0.24806486816406248</v>
      </c>
      <c r="X230" s="42"/>
      <c r="Y230" s="35"/>
    </row>
    <row r="231" spans="2:25" x14ac:dyDescent="0.2">
      <c r="B231" s="25">
        <v>197</v>
      </c>
      <c r="C231" s="36">
        <f>IF(B230&lt;'Умови та класичний графік'!$J$14,EDATE(C230,1),"")</f>
        <v>50192</v>
      </c>
      <c r="D231" s="36">
        <f>IF(B230&lt;'Умови та класичний графік'!$J$14,C230,"")</f>
        <v>50161</v>
      </c>
      <c r="E231" s="26">
        <f>IF(B230&lt;'Умови та класичний графік'!$J$14,C231-1,"")</f>
        <v>50191</v>
      </c>
      <c r="F231" s="37">
        <f>IF(B230&lt;'Умови та класичний графік'!$J$14,E231-D231+1,"")</f>
        <v>31</v>
      </c>
      <c r="G231" s="140">
        <f>IF(B230&lt;'Умови та класичний графік'!$J$14,-(SUM(J231:L231)),"")</f>
        <v>181728.12970921036</v>
      </c>
      <c r="H231" s="140"/>
      <c r="I231" s="32">
        <f>IF(B230&lt;'Умови та класичний графік'!$J$14,I230+J231,"")</f>
        <v>5416469.7908637347</v>
      </c>
      <c r="J231" s="32">
        <f>IF(B230&lt;'Умови та класичний графік'!$J$14,PPMT($J$20/12,B231,$J$12,$J$11,0,0),"")</f>
        <v>-83192.513424053948</v>
      </c>
      <c r="K231" s="32">
        <f>IF(B230&lt;'Умови та класичний графік'!$J$14,IPMT($J$20/12,B231,$J$12,$J$11,0,0),"")</f>
        <v>-98535.61628515643</v>
      </c>
      <c r="L231" s="30">
        <f>IF(B230&lt;'Умови та класичний графік'!$J$14,-(SUM(M231:V231)),"")</f>
        <v>0</v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>
        <f>IF(B230&lt;'Умови та класичний графік'!$J$14,XIRR($G$34:G231,$C$34:C231,0),"")</f>
        <v>0.24821303222656249</v>
      </c>
      <c r="X231" s="42"/>
      <c r="Y231" s="35"/>
    </row>
    <row r="232" spans="2:25" x14ac:dyDescent="0.2">
      <c r="B232" s="25">
        <v>198</v>
      </c>
      <c r="C232" s="36">
        <f>IF(B231&lt;'Умови та класичний графік'!$J$14,EDATE(C231,1),"")</f>
        <v>50222</v>
      </c>
      <c r="D232" s="36">
        <f>IF(B231&lt;'Умови та класичний графік'!$J$14,C231,"")</f>
        <v>50192</v>
      </c>
      <c r="E232" s="26">
        <f>IF(B231&lt;'Умови та класичний графік'!$J$14,C232-1,"")</f>
        <v>50221</v>
      </c>
      <c r="F232" s="37">
        <f>IF(B231&lt;'Умови та класичний графік'!$J$14,E232-D232+1,"")</f>
        <v>30</v>
      </c>
      <c r="G232" s="140">
        <f>IF(B231&lt;'Умови та класичний графік'!$J$14,-(SUM(J232:L232)),"")</f>
        <v>181728.12970921036</v>
      </c>
      <c r="H232" s="140"/>
      <c r="I232" s="32">
        <f>IF(B231&lt;'Умови та класичний графік'!$J$14,I231+J232,"")</f>
        <v>5331786.7449074993</v>
      </c>
      <c r="J232" s="32">
        <f>IF(B231&lt;'Умови та класичний графік'!$J$14,PPMT($J$20/12,B232,$J$12,$J$11,0,0),"")</f>
        <v>-84683.045956234928</v>
      </c>
      <c r="K232" s="32">
        <f>IF(B231&lt;'Умови та класичний графік'!$J$14,IPMT($J$20/12,B232,$J$12,$J$11,0,0),"")</f>
        <v>-97045.083752975435</v>
      </c>
      <c r="L232" s="30">
        <f>IF(B231&lt;'Умови та класичний графік'!$J$14,-(SUM(M232:V232)),"")</f>
        <v>0</v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>
        <f>IF(B231&lt;'Умови та класичний графік'!$J$14,XIRR($G$34:G232,$C$34:C232,0),"")</f>
        <v>0.24835810058593755</v>
      </c>
      <c r="X232" s="42"/>
      <c r="Y232" s="35"/>
    </row>
    <row r="233" spans="2:25" x14ac:dyDescent="0.2">
      <c r="B233" s="25">
        <v>199</v>
      </c>
      <c r="C233" s="36">
        <f>IF(B232&lt;'Умови та класичний графік'!$J$14,EDATE(C232,1),"")</f>
        <v>50253</v>
      </c>
      <c r="D233" s="36">
        <f>IF(B232&lt;'Умови та класичний графік'!$J$14,C232,"")</f>
        <v>50222</v>
      </c>
      <c r="E233" s="26">
        <f>IF(B232&lt;'Умови та класичний графік'!$J$14,C233-1,"")</f>
        <v>50252</v>
      </c>
      <c r="F233" s="37">
        <f>IF(B232&lt;'Умови та класичний графік'!$J$14,E233-D233+1,"")</f>
        <v>31</v>
      </c>
      <c r="G233" s="140">
        <f>IF(B232&lt;'Умови та класичний графік'!$J$14,-(SUM(J233:L233)),"")</f>
        <v>181728.12970921036</v>
      </c>
      <c r="H233" s="140"/>
      <c r="I233" s="32">
        <f>IF(B232&lt;'Умови та класичний графік'!$J$14,I232+J233,"")</f>
        <v>5245586.4610445481</v>
      </c>
      <c r="J233" s="32">
        <f>IF(B232&lt;'Умови та класичний графік'!$J$14,PPMT($J$20/12,B233,$J$12,$J$11,0,0),"")</f>
        <v>-86200.28386295079</v>
      </c>
      <c r="K233" s="32">
        <f>IF(B232&lt;'Умови та класичний графік'!$J$14,IPMT($J$20/12,B233,$J$12,$J$11,0,0),"")</f>
        <v>-95527.845846259588</v>
      </c>
      <c r="L233" s="30">
        <f>IF(B232&lt;'Умови та класичний графік'!$J$14,-(SUM(M233:V233)),"")</f>
        <v>0</v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>
        <f>IF(B232&lt;'Умови та класичний графік'!$J$14,XIRR($G$34:G233,$C$34:C233,0),"")</f>
        <v>0.24850005371093753</v>
      </c>
      <c r="X233" s="42"/>
      <c r="Y233" s="35"/>
    </row>
    <row r="234" spans="2:25" x14ac:dyDescent="0.2">
      <c r="B234" s="25">
        <v>200</v>
      </c>
      <c r="C234" s="36">
        <f>IF(B233&lt;'Умови та класичний графік'!$J$14,EDATE(C233,1),"")</f>
        <v>50284</v>
      </c>
      <c r="D234" s="36">
        <f>IF(B233&lt;'Умови та класичний графік'!$J$14,C233,"")</f>
        <v>50253</v>
      </c>
      <c r="E234" s="26">
        <f>IF(B233&lt;'Умови та класичний графік'!$J$14,C234-1,"")</f>
        <v>50283</v>
      </c>
      <c r="F234" s="37">
        <f>IF(B233&lt;'Умови та класичний графік'!$J$14,E234-D234+1,"")</f>
        <v>31</v>
      </c>
      <c r="G234" s="140">
        <f>IF(B233&lt;'Умови та класичний графік'!$J$14,-(SUM(J234:L234)),"")</f>
        <v>181728.12970921036</v>
      </c>
      <c r="H234" s="140"/>
      <c r="I234" s="32">
        <f>IF(B233&lt;'Умови та класичний графік'!$J$14,I233+J234,"")</f>
        <v>5157841.7554290527</v>
      </c>
      <c r="J234" s="32">
        <f>IF(B233&lt;'Умови та класичний графік'!$J$14,PPMT($J$20/12,B234,$J$12,$J$11,0,0),"")</f>
        <v>-87744.705615495332</v>
      </c>
      <c r="K234" s="32">
        <f>IF(B233&lt;'Умови та класичний графік'!$J$14,IPMT($J$20/12,B234,$J$12,$J$11,0,0),"")</f>
        <v>-93983.424093715046</v>
      </c>
      <c r="L234" s="30">
        <f>IF(B233&lt;'Умови та класичний графік'!$J$14,-(SUM(M234:V234)),"")</f>
        <v>0</v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>
        <f>IF(B233&lt;'Умови та класичний графік'!$J$14,XIRR($G$34:G234,$C$34:C234,0),"")</f>
        <v>0.24863895996093754</v>
      </c>
      <c r="X234" s="42"/>
      <c r="Y234" s="35"/>
    </row>
    <row r="235" spans="2:25" x14ac:dyDescent="0.2">
      <c r="B235" s="25">
        <v>201</v>
      </c>
      <c r="C235" s="36">
        <f>IF(B234&lt;'Умови та класичний графік'!$J$14,EDATE(C234,1),"")</f>
        <v>50314</v>
      </c>
      <c r="D235" s="36">
        <f>IF(B234&lt;'Умови та класичний графік'!$J$14,C234,"")</f>
        <v>50284</v>
      </c>
      <c r="E235" s="26">
        <f>IF(B234&lt;'Умови та класичний графік'!$J$14,C235-1,"")</f>
        <v>50313</v>
      </c>
      <c r="F235" s="37">
        <f>IF(B234&lt;'Умови та класичний графік'!$J$14,E235-D235+1,"")</f>
        <v>30</v>
      </c>
      <c r="G235" s="140">
        <f>IF(B234&lt;'Умови та класичний графік'!$J$14,-(SUM(J235:L235)),"")</f>
        <v>181728.12970921036</v>
      </c>
      <c r="H235" s="140"/>
      <c r="I235" s="32">
        <f>IF(B234&lt;'Умови та класичний графік'!$J$14,I234+J235,"")</f>
        <v>5068524.9571712799</v>
      </c>
      <c r="J235" s="32">
        <f>IF(B234&lt;'Умови та класичний графік'!$J$14,PPMT($J$20/12,B235,$J$12,$J$11,0,0),"")</f>
        <v>-89316.798257772956</v>
      </c>
      <c r="K235" s="32">
        <f>IF(B234&lt;'Умови та класичний графік'!$J$14,IPMT($J$20/12,B235,$J$12,$J$11,0,0),"")</f>
        <v>-92411.331451437421</v>
      </c>
      <c r="L235" s="30">
        <f>IF(B234&lt;'Умови та класичний графік'!$J$14,-(SUM(M235:V235)),"")</f>
        <v>0</v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>
        <f>IF(B234&lt;'Умови та класичний графік'!$J$14,XIRR($G$34:G235,$C$34:C235,0),"")</f>
        <v>0.24877498535156251</v>
      </c>
      <c r="X235" s="42"/>
      <c r="Y235" s="35"/>
    </row>
    <row r="236" spans="2:25" x14ac:dyDescent="0.2">
      <c r="B236" s="25">
        <v>202</v>
      </c>
      <c r="C236" s="36">
        <f>IF(B235&lt;'Умови та класичний графік'!$J$14,EDATE(C235,1),"")</f>
        <v>50345</v>
      </c>
      <c r="D236" s="36">
        <f>IF(B235&lt;'Умови та класичний графік'!$J$14,C235,"")</f>
        <v>50314</v>
      </c>
      <c r="E236" s="26">
        <f>IF(B235&lt;'Умови та класичний графік'!$J$14,C236-1,"")</f>
        <v>50344</v>
      </c>
      <c r="F236" s="37">
        <f>IF(B235&lt;'Умови та класичний графік'!$J$14,E236-D236+1,"")</f>
        <v>31</v>
      </c>
      <c r="G236" s="140">
        <f>IF(B235&lt;'Умови та класичний графік'!$J$14,-(SUM(J236:L236)),"")</f>
        <v>181728.12970921036</v>
      </c>
      <c r="H236" s="140"/>
      <c r="I236" s="32">
        <f>IF(B235&lt;'Умови та класичний графік'!$J$14,I235+J236,"")</f>
        <v>4977607.8996113883</v>
      </c>
      <c r="J236" s="32">
        <f>IF(B235&lt;'Умови та класичний графік'!$J$14,PPMT($J$20/12,B236,$J$12,$J$11,0,0),"")</f>
        <v>-90917.057559891386</v>
      </c>
      <c r="K236" s="32">
        <f>IF(B235&lt;'Умови та класичний графік'!$J$14,IPMT($J$20/12,B236,$J$12,$J$11,0,0),"")</f>
        <v>-90811.072149318992</v>
      </c>
      <c r="L236" s="30">
        <f>IF(B235&lt;'Умови та класичний графік'!$J$14,-(SUM(M236:V236)),"")</f>
        <v>0</v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>
        <f>IF(B235&lt;'Умови та класичний графік'!$J$14,XIRR($G$34:G236,$C$34:C236,0),"")</f>
        <v>0.24890810058593754</v>
      </c>
      <c r="X236" s="42"/>
      <c r="Y236" s="35"/>
    </row>
    <row r="237" spans="2:25" x14ac:dyDescent="0.2">
      <c r="B237" s="25">
        <v>203</v>
      </c>
      <c r="C237" s="36">
        <f>IF(B236&lt;'Умови та класичний графік'!$J$14,EDATE(C236,1),"")</f>
        <v>50375</v>
      </c>
      <c r="D237" s="36">
        <f>IF(B236&lt;'Умови та класичний графік'!$J$14,C236,"")</f>
        <v>50345</v>
      </c>
      <c r="E237" s="26">
        <f>IF(B236&lt;'Умови та класичний графік'!$J$14,C237-1,"")</f>
        <v>50374</v>
      </c>
      <c r="F237" s="37">
        <f>IF(B236&lt;'Умови та класичний графік'!$J$14,E237-D237+1,"")</f>
        <v>30</v>
      </c>
      <c r="G237" s="140">
        <f>IF(B236&lt;'Умови та класичний графік'!$J$14,-(SUM(J237:L237)),"")</f>
        <v>181728.12970921036</v>
      </c>
      <c r="H237" s="140"/>
      <c r="I237" s="32">
        <f>IF(B236&lt;'Умови та класичний графік'!$J$14,I236+J237,"")</f>
        <v>4885061.9114368819</v>
      </c>
      <c r="J237" s="32">
        <f>IF(B236&lt;'Умови та класичний графік'!$J$14,PPMT($J$20/12,B237,$J$12,$J$11,0,0),"")</f>
        <v>-92545.988174506114</v>
      </c>
      <c r="K237" s="32">
        <f>IF(B236&lt;'Умови та класичний графік'!$J$14,IPMT($J$20/12,B237,$J$12,$J$11,0,0),"")</f>
        <v>-89182.141534704264</v>
      </c>
      <c r="L237" s="30">
        <f>IF(B236&lt;'Умови та класичний графік'!$J$14,-(SUM(M237:V237)),"")</f>
        <v>0</v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>
        <f>IF(B236&lt;'Умови та класичний графік'!$J$14,XIRR($G$34:G237,$C$34:C237,0),"")</f>
        <v>0.24903846191406254</v>
      </c>
      <c r="X237" s="42"/>
      <c r="Y237" s="35"/>
    </row>
    <row r="238" spans="2:25" x14ac:dyDescent="0.2">
      <c r="B238" s="25">
        <v>204</v>
      </c>
      <c r="C238" s="36">
        <f>IF(B237&lt;'Умови та класичний графік'!$J$14,EDATE(C237,1),"")</f>
        <v>50406</v>
      </c>
      <c r="D238" s="36">
        <f>IF(B237&lt;'Умови та класичний графік'!$J$14,C237,"")</f>
        <v>50375</v>
      </c>
      <c r="E238" s="26">
        <f>IF(B237&lt;'Умови та класичний графік'!$J$14,C238-1,"")</f>
        <v>50405</v>
      </c>
      <c r="F238" s="37">
        <f>IF(B237&lt;'Умови та класичний графік'!$J$14,E238-D238+1,"")</f>
        <v>31</v>
      </c>
      <c r="G238" s="140">
        <f>IF(B237&lt;'Умови та класичний графік'!$J$14,-(SUM(J238:L238)),"")</f>
        <v>236600.70313213312</v>
      </c>
      <c r="H238" s="140"/>
      <c r="I238" s="32">
        <f>IF(B237&lt;'Умови та класичний графік'!$J$14,I237+J238,"")</f>
        <v>4790857.8076409157</v>
      </c>
      <c r="J238" s="32">
        <f>IF(B237&lt;'Умови та класичний графік'!$J$14,PPMT($J$20/12,B238,$J$12,$J$11,0,0),"")</f>
        <v>-94204.103795966017</v>
      </c>
      <c r="K238" s="32">
        <f>IF(B237&lt;'Умови та класичний графік'!$J$14,IPMT($J$20/12,B238,$J$12,$J$11,0,0),"")</f>
        <v>-87524.025913244361</v>
      </c>
      <c r="L238" s="30">
        <f>IF(B237&lt;'Умови та класичний графік'!$J$14,-(SUM(M238:V238)),"")</f>
        <v>-54872.573422922746</v>
      </c>
      <c r="M238" s="38"/>
      <c r="N238" s="39"/>
      <c r="O238" s="39"/>
      <c r="P238" s="32"/>
      <c r="Q238" s="40"/>
      <c r="R238" s="40"/>
      <c r="S238" s="41"/>
      <c r="T238" s="41"/>
      <c r="U238" s="33">
        <f>IF(B237&lt;'Умови та класичний графік'!$J$14,('Умови та класичний графік'!$J$15*$N$18)+(I238*$N$19),"")</f>
        <v>54872.573422922746</v>
      </c>
      <c r="V238" s="41"/>
      <c r="W238" s="43">
        <f>IF(B237&lt;'Умови та класичний графік'!$J$14,XIRR($G$34:G238,$C$34:C238,0),"")</f>
        <v>0.2492044970703125</v>
      </c>
      <c r="X238" s="42"/>
      <c r="Y238" s="35"/>
    </row>
    <row r="239" spans="2:25" x14ac:dyDescent="0.2">
      <c r="B239" s="25">
        <v>205</v>
      </c>
      <c r="C239" s="36">
        <f>IF(B238&lt;'Умови та класичний графік'!$J$14,EDATE(C238,1),"")</f>
        <v>50437</v>
      </c>
      <c r="D239" s="36">
        <f>IF(B238&lt;'Умови та класичний графік'!$J$14,C238,"")</f>
        <v>50406</v>
      </c>
      <c r="E239" s="26">
        <f>IF(B238&lt;'Умови та класичний графік'!$J$14,C239-1,"")</f>
        <v>50436</v>
      </c>
      <c r="F239" s="37">
        <f>IF(B238&lt;'Умови та класичний графік'!$J$14,E239-D239+1,"")</f>
        <v>31</v>
      </c>
      <c r="G239" s="140">
        <f>IF(B238&lt;'Умови та класичний графік'!$J$14,-(SUM(J239:L239)),"")</f>
        <v>181728.12970921036</v>
      </c>
      <c r="H239" s="140"/>
      <c r="I239" s="32">
        <f>IF(B238&lt;'Умови та класичний графік'!$J$14,I238+J239,"")</f>
        <v>4694965.8803186053</v>
      </c>
      <c r="J239" s="32">
        <f>IF(B238&lt;'Умови та класичний графік'!$J$14,PPMT($J$20/12,B239,$J$12,$J$11,0,0),"")</f>
        <v>-95891.927322310396</v>
      </c>
      <c r="K239" s="32">
        <f>IF(B238&lt;'Умови та класичний графік'!$J$14,IPMT($J$20/12,B239,$J$12,$J$11,0,0),"")</f>
        <v>-85836.202386899968</v>
      </c>
      <c r="L239" s="30">
        <f>IF(B238&lt;'Умови та класичний графік'!$J$14,-(SUM(M239:V239)),"")</f>
        <v>0</v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>
        <f>IF(B238&lt;'Умови та класичний графік'!$J$14,XIRR($G$34:G239,$C$34:C239,0),"")</f>
        <v>0.24932926269531247</v>
      </c>
      <c r="X239" s="42"/>
      <c r="Y239" s="35"/>
    </row>
    <row r="240" spans="2:25" x14ac:dyDescent="0.2">
      <c r="B240" s="25">
        <v>206</v>
      </c>
      <c r="C240" s="36">
        <f>IF(B239&lt;'Умови та класичний графік'!$J$14,EDATE(C239,1),"")</f>
        <v>50465</v>
      </c>
      <c r="D240" s="36">
        <f>IF(B239&lt;'Умови та класичний графік'!$J$14,C239,"")</f>
        <v>50437</v>
      </c>
      <c r="E240" s="26">
        <f>IF(B239&lt;'Умови та класичний графік'!$J$14,C240-1,"")</f>
        <v>50464</v>
      </c>
      <c r="F240" s="37">
        <f>IF(B239&lt;'Умови та класичний графік'!$J$14,E240-D240+1,"")</f>
        <v>28</v>
      </c>
      <c r="G240" s="140">
        <f>IF(B239&lt;'Умови та класичний графік'!$J$14,-(SUM(J240:L240)),"")</f>
        <v>181728.12970921036</v>
      </c>
      <c r="H240" s="140"/>
      <c r="I240" s="32">
        <f>IF(B239&lt;'Умови та класичний графік'!$J$14,I239+J240,"")</f>
        <v>4597355.8892984372</v>
      </c>
      <c r="J240" s="32">
        <f>IF(B239&lt;'Умови та класичний графік'!$J$14,PPMT($J$20/12,B240,$J$12,$J$11,0,0),"")</f>
        <v>-97609.991020168454</v>
      </c>
      <c r="K240" s="32">
        <f>IF(B239&lt;'Умови та класичний графік'!$J$14,IPMT($J$20/12,B240,$J$12,$J$11,0,0),"")</f>
        <v>-84118.138689041923</v>
      </c>
      <c r="L240" s="30">
        <f>IF(B239&lt;'Умови та класичний графік'!$J$14,-(SUM(M240:V240)),"")</f>
        <v>0</v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>
        <f>IF(B239&lt;'Умови та класичний графік'!$J$14,XIRR($G$34:G240,$C$34:C240,0),"")</f>
        <v>0.2494516064453125</v>
      </c>
      <c r="X240" s="42"/>
      <c r="Y240" s="35"/>
    </row>
    <row r="241" spans="2:25" x14ac:dyDescent="0.2">
      <c r="B241" s="25">
        <v>207</v>
      </c>
      <c r="C241" s="36">
        <f>IF(B240&lt;'Умови та класичний графік'!$J$14,EDATE(C240,1),"")</f>
        <v>50496</v>
      </c>
      <c r="D241" s="36">
        <f>IF(B240&lt;'Умови та класичний графік'!$J$14,C240,"")</f>
        <v>50465</v>
      </c>
      <c r="E241" s="26">
        <f>IF(B240&lt;'Умови та класичний графік'!$J$14,C241-1,"")</f>
        <v>50495</v>
      </c>
      <c r="F241" s="37">
        <f>IF(B240&lt;'Умови та класичний графік'!$J$14,E241-D241+1,"")</f>
        <v>31</v>
      </c>
      <c r="G241" s="140">
        <f>IF(B240&lt;'Умови та класичний графік'!$J$14,-(SUM(J241:L241)),"")</f>
        <v>181728.12970921039</v>
      </c>
      <c r="H241" s="140"/>
      <c r="I241" s="32">
        <f>IF(B240&lt;'Умови та класичний графік'!$J$14,I240+J241,"")</f>
        <v>4497997.0526058236</v>
      </c>
      <c r="J241" s="32">
        <f>IF(B240&lt;'Умови та класичний графік'!$J$14,PPMT($J$20/12,B241,$J$12,$J$11,0,0),"")</f>
        <v>-99358.836692613157</v>
      </c>
      <c r="K241" s="32">
        <f>IF(B240&lt;'Умови та класичний графік'!$J$14,IPMT($J$20/12,B241,$J$12,$J$11,0,0),"")</f>
        <v>-82369.293016597236</v>
      </c>
      <c r="L241" s="30">
        <f>IF(B240&lt;'Умови та класичний графік'!$J$14,-(SUM(M241:V241)),"")</f>
        <v>0</v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>
        <f>IF(B240&lt;'Умови та класичний графік'!$J$14,XIRR($G$34:G241,$C$34:C241,0),"")</f>
        <v>0.24957135253906249</v>
      </c>
      <c r="X241" s="42"/>
      <c r="Y241" s="35"/>
    </row>
    <row r="242" spans="2:25" x14ac:dyDescent="0.2">
      <c r="B242" s="25">
        <v>208</v>
      </c>
      <c r="C242" s="36">
        <f>IF(B241&lt;'Умови та класичний графік'!$J$14,EDATE(C241,1),"")</f>
        <v>50526</v>
      </c>
      <c r="D242" s="36">
        <f>IF(B241&lt;'Умови та класичний графік'!$J$14,C241,"")</f>
        <v>50496</v>
      </c>
      <c r="E242" s="26">
        <f>IF(B241&lt;'Умови та класичний графік'!$J$14,C242-1,"")</f>
        <v>50525</v>
      </c>
      <c r="F242" s="37">
        <f>IF(B241&lt;'Умови та класичний графік'!$J$14,E242-D242+1,"")</f>
        <v>30</v>
      </c>
      <c r="G242" s="140">
        <f>IF(B241&lt;'Умови та класичний графік'!$J$14,-(SUM(J242:L242)),"")</f>
        <v>181728.12970921036</v>
      </c>
      <c r="H242" s="140"/>
      <c r="I242" s="32">
        <f>IF(B241&lt;'Умови та класичний графік'!$J$14,I241+J242,"")</f>
        <v>4396858.0367558012</v>
      </c>
      <c r="J242" s="32">
        <f>IF(B241&lt;'Умови та класичний графік'!$J$14,PPMT($J$20/12,B242,$J$12,$J$11,0,0),"")</f>
        <v>-101139.01585002246</v>
      </c>
      <c r="K242" s="32">
        <f>IF(B241&lt;'Умови та класичний графік'!$J$14,IPMT($J$20/12,B242,$J$12,$J$11,0,0),"")</f>
        <v>-80589.113859187899</v>
      </c>
      <c r="L242" s="30">
        <f>IF(B241&lt;'Умови та класичний графік'!$J$14,-(SUM(M242:V242)),"")</f>
        <v>0</v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>
        <f>IF(B241&lt;'Умови та класичний графік'!$J$14,XIRR($G$34:G242,$C$34:C242,0),"")</f>
        <v>0.24968863769531247</v>
      </c>
      <c r="X242" s="42"/>
      <c r="Y242" s="35"/>
    </row>
    <row r="243" spans="2:25" x14ac:dyDescent="0.2">
      <c r="B243" s="25">
        <v>209</v>
      </c>
      <c r="C243" s="36">
        <f>IF(B242&lt;'Умови та класичний графік'!$J$14,EDATE(C242,1),"")</f>
        <v>50557</v>
      </c>
      <c r="D243" s="36">
        <f>IF(B242&lt;'Умови та класичний графік'!$J$14,C242,"")</f>
        <v>50526</v>
      </c>
      <c r="E243" s="26">
        <f>IF(B242&lt;'Умови та класичний графік'!$J$14,C243-1,"")</f>
        <v>50556</v>
      </c>
      <c r="F243" s="37">
        <f>IF(B242&lt;'Умови та класичний графік'!$J$14,E243-D243+1,"")</f>
        <v>31</v>
      </c>
      <c r="G243" s="140">
        <f>IF(B242&lt;'Умови та класичний графік'!$J$14,-(SUM(J243:L243)),"")</f>
        <v>181728.12970921039</v>
      </c>
      <c r="H243" s="140"/>
      <c r="I243" s="32">
        <f>IF(B242&lt;'Умови та класичний графік'!$J$14,I242+J243,"")</f>
        <v>4293906.9468717994</v>
      </c>
      <c r="J243" s="32">
        <f>IF(B242&lt;'Умови та класичний графік'!$J$14,PPMT($J$20/12,B243,$J$12,$J$11,0,0),"")</f>
        <v>-102951.08988400205</v>
      </c>
      <c r="K243" s="32">
        <f>IF(B242&lt;'Умови та класичний графік'!$J$14,IPMT($J$20/12,B243,$J$12,$J$11,0,0),"")</f>
        <v>-78777.03982520834</v>
      </c>
      <c r="L243" s="30">
        <f>IF(B242&lt;'Умови та класичний графік'!$J$14,-(SUM(M243:V243)),"")</f>
        <v>0</v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>
        <f>IF(B242&lt;'Умови та класичний графік'!$J$14,XIRR($G$34:G243,$C$34:C243,0),"")</f>
        <v>0.24980344238281249</v>
      </c>
      <c r="X243" s="42"/>
      <c r="Y243" s="35"/>
    </row>
    <row r="244" spans="2:25" x14ac:dyDescent="0.2">
      <c r="B244" s="25">
        <v>210</v>
      </c>
      <c r="C244" s="36">
        <f>IF(B243&lt;'Умови та класичний графік'!$J$14,EDATE(C243,1),"")</f>
        <v>50587</v>
      </c>
      <c r="D244" s="36">
        <f>IF(B243&lt;'Умови та класичний графік'!$J$14,C243,"")</f>
        <v>50557</v>
      </c>
      <c r="E244" s="26">
        <f>IF(B243&lt;'Умови та класичний графік'!$J$14,C244-1,"")</f>
        <v>50586</v>
      </c>
      <c r="F244" s="37">
        <f>IF(B243&lt;'Умови та класичний графік'!$J$14,E244-D244+1,"")</f>
        <v>30</v>
      </c>
      <c r="G244" s="140">
        <f>IF(B243&lt;'Умови та класичний графік'!$J$14,-(SUM(J244:L244)),"")</f>
        <v>181728.12970921036</v>
      </c>
      <c r="H244" s="140"/>
      <c r="I244" s="32">
        <f>IF(B243&lt;'Умови та класичний графік'!$J$14,I243+J244,"")</f>
        <v>4189111.3166273758</v>
      </c>
      <c r="J244" s="32">
        <f>IF(B243&lt;'Умови та класичний графік'!$J$14,PPMT($J$20/12,B244,$J$12,$J$11,0,0),"")</f>
        <v>-104795.63024442374</v>
      </c>
      <c r="K244" s="32">
        <f>IF(B243&lt;'Умови та класичний графік'!$J$14,IPMT($J$20/12,B244,$J$12,$J$11,0,0),"")</f>
        <v>-76932.499464786641</v>
      </c>
      <c r="L244" s="30">
        <f>IF(B243&lt;'Умови та класичний графік'!$J$14,-(SUM(M244:V244)),"")</f>
        <v>0</v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>
        <f>IF(B243&lt;'Умови та класичний графік'!$J$14,XIRR($G$34:G244,$C$34:C244,0),"")</f>
        <v>0.24991588378906249</v>
      </c>
      <c r="X244" s="42"/>
      <c r="Y244" s="35"/>
    </row>
    <row r="245" spans="2:25" x14ac:dyDescent="0.2">
      <c r="B245" s="25">
        <v>211</v>
      </c>
      <c r="C245" s="36">
        <f>IF(B244&lt;'Умови та класичний графік'!$J$14,EDATE(C244,1),"")</f>
        <v>50618</v>
      </c>
      <c r="D245" s="36">
        <f>IF(B244&lt;'Умови та класичний графік'!$J$14,C244,"")</f>
        <v>50587</v>
      </c>
      <c r="E245" s="26">
        <f>IF(B244&lt;'Умови та класичний графік'!$J$14,C245-1,"")</f>
        <v>50617</v>
      </c>
      <c r="F245" s="37">
        <f>IF(B244&lt;'Умови та класичний графік'!$J$14,E245-D245+1,"")</f>
        <v>31</v>
      </c>
      <c r="G245" s="140">
        <f>IF(B244&lt;'Умови та класичний графік'!$J$14,-(SUM(J245:L245)),"")</f>
        <v>181728.12970921039</v>
      </c>
      <c r="H245" s="140"/>
      <c r="I245" s="32">
        <f>IF(B244&lt;'Умови та класичний графік'!$J$14,I244+J245,"")</f>
        <v>4082438.0980077395</v>
      </c>
      <c r="J245" s="32">
        <f>IF(B244&lt;'Умови та класичний графік'!$J$14,PPMT($J$20/12,B245,$J$12,$J$11,0,0),"")</f>
        <v>-106673.21861963635</v>
      </c>
      <c r="K245" s="32">
        <f>IF(B244&lt;'Умови та класичний графік'!$J$14,IPMT($J$20/12,B245,$J$12,$J$11,0,0),"")</f>
        <v>-75054.911089574045</v>
      </c>
      <c r="L245" s="30">
        <f>IF(B244&lt;'Умови та класичний графік'!$J$14,-(SUM(M245:V245)),"")</f>
        <v>0</v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>
        <f>IF(B244&lt;'Умови та класичний графік'!$J$14,XIRR($G$34:G245,$C$34:C245,0),"")</f>
        <v>0.25002595214843748</v>
      </c>
      <c r="X245" s="42"/>
      <c r="Y245" s="35"/>
    </row>
    <row r="246" spans="2:25" x14ac:dyDescent="0.2">
      <c r="B246" s="25">
        <v>212</v>
      </c>
      <c r="C246" s="36">
        <f>IF(B245&lt;'Умови та класичний графік'!$J$14,EDATE(C245,1),"")</f>
        <v>50649</v>
      </c>
      <c r="D246" s="36">
        <f>IF(B245&lt;'Умови та класичний графік'!$J$14,C245,"")</f>
        <v>50618</v>
      </c>
      <c r="E246" s="26">
        <f>IF(B245&lt;'Умови та класичний графік'!$J$14,C246-1,"")</f>
        <v>50648</v>
      </c>
      <c r="F246" s="37">
        <f>IF(B245&lt;'Умови та класичний графік'!$J$14,E246-D246+1,"")</f>
        <v>31</v>
      </c>
      <c r="G246" s="140">
        <f>IF(B245&lt;'Умови та класичний графік'!$J$14,-(SUM(J246:L246)),"")</f>
        <v>181728.12970921042</v>
      </c>
      <c r="H246" s="140"/>
      <c r="I246" s="32">
        <f>IF(B245&lt;'Умови та класичний графік'!$J$14,I245+J246,"")</f>
        <v>3973853.6508878348</v>
      </c>
      <c r="J246" s="32">
        <f>IF(B245&lt;'Умови та класичний графік'!$J$14,PPMT($J$20/12,B246,$J$12,$J$11,0,0),"")</f>
        <v>-108584.44711990484</v>
      </c>
      <c r="K246" s="32">
        <f>IF(B245&lt;'Умови та класичний графік'!$J$14,IPMT($J$20/12,B246,$J$12,$J$11,0,0),"")</f>
        <v>-73143.682589305565</v>
      </c>
      <c r="L246" s="30">
        <f>IF(B245&lt;'Умови та класичний графік'!$J$14,-(SUM(M246:V246)),"")</f>
        <v>0</v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>
        <f>IF(B245&lt;'Умови та класичний графік'!$J$14,XIRR($G$34:G246,$C$34:C246,0),"")</f>
        <v>0.25013371582031252</v>
      </c>
      <c r="X246" s="42"/>
      <c r="Y246" s="35"/>
    </row>
    <row r="247" spans="2:25" x14ac:dyDescent="0.2">
      <c r="B247" s="25">
        <v>213</v>
      </c>
      <c r="C247" s="36">
        <f>IF(B246&lt;'Умови та класичний графік'!$J$14,EDATE(C246,1),"")</f>
        <v>50679</v>
      </c>
      <c r="D247" s="36">
        <f>IF(B246&lt;'Умови та класичний графік'!$J$14,C246,"")</f>
        <v>50649</v>
      </c>
      <c r="E247" s="26">
        <f>IF(B246&lt;'Умови та класичний графік'!$J$14,C247-1,"")</f>
        <v>50678</v>
      </c>
      <c r="F247" s="37">
        <f>IF(B246&lt;'Умови та класичний графік'!$J$14,E247-D247+1,"")</f>
        <v>30</v>
      </c>
      <c r="G247" s="140">
        <f>IF(B246&lt;'Умови та класичний графік'!$J$14,-(SUM(J247:L247)),"")</f>
        <v>181728.12970921036</v>
      </c>
      <c r="H247" s="140"/>
      <c r="I247" s="32">
        <f>IF(B246&lt;'Умови та класичний графік'!$J$14,I246+J247,"")</f>
        <v>3863323.7324236985</v>
      </c>
      <c r="J247" s="32">
        <f>IF(B246&lt;'Умови та класичний графік'!$J$14,PPMT($J$20/12,B247,$J$12,$J$11,0,0),"")</f>
        <v>-110529.91846413646</v>
      </c>
      <c r="K247" s="32">
        <f>IF(B246&lt;'Умови та класичний графік'!$J$14,IPMT($J$20/12,B247,$J$12,$J$11,0,0),"")</f>
        <v>-71198.211245073922</v>
      </c>
      <c r="L247" s="30">
        <f>IF(B246&lt;'Умови та класичний графік'!$J$14,-(SUM(M247:V247)),"")</f>
        <v>0</v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>
        <f>IF(B246&lt;'Умови та класичний графік'!$J$14,XIRR($G$34:G247,$C$34:C247,0),"")</f>
        <v>0.25023926269531249</v>
      </c>
      <c r="X247" s="42"/>
      <c r="Y247" s="35"/>
    </row>
    <row r="248" spans="2:25" x14ac:dyDescent="0.2">
      <c r="B248" s="25">
        <v>214</v>
      </c>
      <c r="C248" s="36">
        <f>IF(B247&lt;'Умови та класичний графік'!$J$14,EDATE(C247,1),"")</f>
        <v>50710</v>
      </c>
      <c r="D248" s="36">
        <f>IF(B247&lt;'Умови та класичний графік'!$J$14,C247,"")</f>
        <v>50679</v>
      </c>
      <c r="E248" s="26">
        <f>IF(B247&lt;'Умови та класичний графік'!$J$14,C248-1,"")</f>
        <v>50709</v>
      </c>
      <c r="F248" s="37">
        <f>IF(B247&lt;'Умови та класичний графік'!$J$14,E248-D248+1,"")</f>
        <v>31</v>
      </c>
      <c r="G248" s="140">
        <f>IF(B247&lt;'Умови та класичний графік'!$J$14,-(SUM(J248:L248)),"")</f>
        <v>181728.12970921036</v>
      </c>
      <c r="H248" s="140"/>
      <c r="I248" s="32">
        <f>IF(B247&lt;'Умови та класичний графік'!$J$14,I247+J248,"")</f>
        <v>3750813.4862537463</v>
      </c>
      <c r="J248" s="32">
        <f>IF(B247&lt;'Умови та класичний графік'!$J$14,PPMT($J$20/12,B248,$J$12,$J$11,0,0),"")</f>
        <v>-112510.24616995222</v>
      </c>
      <c r="K248" s="32">
        <f>IF(B247&lt;'Умови та класичний графік'!$J$14,IPMT($J$20/12,B248,$J$12,$J$11,0,0),"")</f>
        <v>-69217.883539258139</v>
      </c>
      <c r="L248" s="30">
        <f>IF(B247&lt;'Умови та класичний графік'!$J$14,-(SUM(M248:V248)),"")</f>
        <v>0</v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>
        <f>IF(B247&lt;'Умови та класичний графік'!$J$14,XIRR($G$34:G248,$C$34:C248,0),"")</f>
        <v>0.2503426025390626</v>
      </c>
      <c r="X248" s="42"/>
      <c r="Y248" s="35"/>
    </row>
    <row r="249" spans="2:25" x14ac:dyDescent="0.2">
      <c r="B249" s="25">
        <v>215</v>
      </c>
      <c r="C249" s="36">
        <f>IF(B248&lt;'Умови та класичний графік'!$J$14,EDATE(C248,1),"")</f>
        <v>50740</v>
      </c>
      <c r="D249" s="36">
        <f>IF(B248&lt;'Умови та класичний графік'!$J$14,C248,"")</f>
        <v>50710</v>
      </c>
      <c r="E249" s="26">
        <f>IF(B248&lt;'Умови та класичний графік'!$J$14,C249-1,"")</f>
        <v>50739</v>
      </c>
      <c r="F249" s="37">
        <f>IF(B248&lt;'Умови та класичний графік'!$J$14,E249-D249+1,"")</f>
        <v>30</v>
      </c>
      <c r="G249" s="140">
        <f>IF(B248&lt;'Умови та класичний графік'!$J$14,-(SUM(J249:L249)),"")</f>
        <v>181728.12970921036</v>
      </c>
      <c r="H249" s="140"/>
      <c r="I249" s="32">
        <f>IF(B248&lt;'Умови та класичний графік'!$J$14,I248+J249,"")</f>
        <v>3636287.4315065825</v>
      </c>
      <c r="J249" s="32">
        <f>IF(B248&lt;'Умови та класичний графік'!$J$14,PPMT($J$20/12,B249,$J$12,$J$11,0,0),"")</f>
        <v>-114526.05474716386</v>
      </c>
      <c r="K249" s="32">
        <f>IF(B248&lt;'Умови та класичний графік'!$J$14,IPMT($J$20/12,B249,$J$12,$J$11,0,0),"")</f>
        <v>-67202.074962046507</v>
      </c>
      <c r="L249" s="30">
        <f>IF(B248&lt;'Умови та класичний графік'!$J$14,-(SUM(M249:V249)),"")</f>
        <v>0</v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>
        <f>IF(B248&lt;'Умови та класичний графік'!$J$14,XIRR($G$34:G249,$C$34:C249,0),"")</f>
        <v>0.25044383300781248</v>
      </c>
      <c r="X249" s="42"/>
      <c r="Y249" s="35"/>
    </row>
    <row r="250" spans="2:25" x14ac:dyDescent="0.2">
      <c r="B250" s="25">
        <v>216</v>
      </c>
      <c r="C250" s="36">
        <f>IF(B249&lt;'Умови та класичний графік'!$J$14,EDATE(C249,1),"")</f>
        <v>50771</v>
      </c>
      <c r="D250" s="36">
        <f>IF(B249&lt;'Умови та класичний графік'!$J$14,C249,"")</f>
        <v>50740</v>
      </c>
      <c r="E250" s="26">
        <f>IF(B249&lt;'Умови та класичний графік'!$J$14,C250-1,"")</f>
        <v>50770</v>
      </c>
      <c r="F250" s="37">
        <f>IF(B249&lt;'Умови та класичний графік'!$J$14,E250-D250+1,"")</f>
        <v>31</v>
      </c>
      <c r="G250" s="140">
        <f>IF(B249&lt;'Умови та класичний графік'!$J$14,-(SUM(J250:L250)),"")</f>
        <v>232787.25806404598</v>
      </c>
      <c r="H250" s="140"/>
      <c r="I250" s="32">
        <f>IF(B249&lt;'Умови та класичний графік'!$J$14,I249+J250,"")</f>
        <v>3519709.4516118653</v>
      </c>
      <c r="J250" s="32">
        <f>IF(B249&lt;'Умови та класичний графік'!$J$14,PPMT($J$20/12,B250,$J$12,$J$11,0,0),"")</f>
        <v>-116577.97989471724</v>
      </c>
      <c r="K250" s="32">
        <f>IF(B249&lt;'Умови та класичний графік'!$J$14,IPMT($J$20/12,B250,$J$12,$J$11,0,0),"")</f>
        <v>-65150.149814493147</v>
      </c>
      <c r="L250" s="30">
        <f>IF(B249&lt;'Умови та класичний графік'!$J$14,-(SUM(M250:V250)),"")</f>
        <v>-51059.1283548356</v>
      </c>
      <c r="M250" s="38"/>
      <c r="N250" s="39"/>
      <c r="O250" s="39"/>
      <c r="P250" s="32"/>
      <c r="Q250" s="40"/>
      <c r="R250" s="40"/>
      <c r="S250" s="41"/>
      <c r="T250" s="41"/>
      <c r="U250" s="33">
        <f>IF(B249&lt;'Умови та класичний графік'!$J$14,('Умови та класичний графік'!$J$15*$N$18)+(I250*$N$19),"")</f>
        <v>51059.1283548356</v>
      </c>
      <c r="V250" s="41"/>
      <c r="W250" s="43">
        <f>IF(B249&lt;'Умови та класичний графік'!$J$14,XIRR($G$34:G250,$C$34:C250,0),"")</f>
        <v>0.25057074707031257</v>
      </c>
      <c r="X250" s="42"/>
      <c r="Y250" s="35"/>
    </row>
    <row r="251" spans="2:25" x14ac:dyDescent="0.2">
      <c r="B251" s="25">
        <v>217</v>
      </c>
      <c r="C251" s="36">
        <f>IF(B250&lt;'Умови та класичний графік'!$J$14,EDATE(C250,1),"")</f>
        <v>50802</v>
      </c>
      <c r="D251" s="36">
        <f>IF(B250&lt;'Умови та класичний графік'!$J$14,C250,"")</f>
        <v>50771</v>
      </c>
      <c r="E251" s="26">
        <f>IF(B250&lt;'Умови та класичний графік'!$J$14,C251-1,"")</f>
        <v>50801</v>
      </c>
      <c r="F251" s="37">
        <f>IF(B250&lt;'Умови та класичний графік'!$J$14,E251-D251+1,"")</f>
        <v>31</v>
      </c>
      <c r="G251" s="140">
        <f>IF(B250&lt;'Умови та класичний графік'!$J$14,-(SUM(J251:L251)),"")</f>
        <v>181728.12970921036</v>
      </c>
      <c r="H251" s="140"/>
      <c r="I251" s="32">
        <f>IF(B250&lt;'Умови та класичний графік'!$J$14,I250+J251,"")</f>
        <v>3401042.7829107009</v>
      </c>
      <c r="J251" s="32">
        <f>IF(B250&lt;'Умови та класичний графік'!$J$14,PPMT($J$20/12,B251,$J$12,$J$11,0,0),"")</f>
        <v>-118666.66870116425</v>
      </c>
      <c r="K251" s="32">
        <f>IF(B250&lt;'Умови та класичний графік'!$J$14,IPMT($J$20/12,B251,$J$12,$J$11,0,0),"")</f>
        <v>-63061.461008046121</v>
      </c>
      <c r="L251" s="30">
        <f>IF(B250&lt;'Умови та класичний графік'!$J$14,-(SUM(M251:V251)),"")</f>
        <v>0</v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>
        <f>IF(B250&lt;'Умови та класичний графік'!$J$14,XIRR($G$34:G251,$C$34:C251,0),"")</f>
        <v>0.25066771972656254</v>
      </c>
      <c r="X251" s="42"/>
      <c r="Y251" s="35"/>
    </row>
    <row r="252" spans="2:25" x14ac:dyDescent="0.2">
      <c r="B252" s="25">
        <v>218</v>
      </c>
      <c r="C252" s="36">
        <f>IF(B251&lt;'Умови та класичний графік'!$J$14,EDATE(C251,1),"")</f>
        <v>50830</v>
      </c>
      <c r="D252" s="36">
        <f>IF(B251&lt;'Умови та класичний графік'!$J$14,C251,"")</f>
        <v>50802</v>
      </c>
      <c r="E252" s="26">
        <f>IF(B251&lt;'Умови та класичний графік'!$J$14,C252-1,"")</f>
        <v>50829</v>
      </c>
      <c r="F252" s="37">
        <f>IF(B251&lt;'Умови та класичний графік'!$J$14,E252-D252+1,"")</f>
        <v>28</v>
      </c>
      <c r="G252" s="140">
        <f>IF(B251&lt;'Умови та класичний графік'!$J$14,-(SUM(J252:L252)),"")</f>
        <v>181728.12970921036</v>
      </c>
      <c r="H252" s="140"/>
      <c r="I252" s="32">
        <f>IF(B251&lt;'Умови та класичний графік'!$J$14,I251+J252,"")</f>
        <v>3280250.003061974</v>
      </c>
      <c r="J252" s="32">
        <f>IF(B251&lt;'Умови та класичний графік'!$J$14,PPMT($J$20/12,B252,$J$12,$J$11,0,0),"")</f>
        <v>-120792.77984872677</v>
      </c>
      <c r="K252" s="32">
        <f>IF(B251&lt;'Умови та класичний графік'!$J$14,IPMT($J$20/12,B252,$J$12,$J$11,0,0),"")</f>
        <v>-60935.349860483606</v>
      </c>
      <c r="L252" s="30">
        <f>IF(B251&lt;'Умови та класичний графік'!$J$14,-(SUM(M252:V252)),"")</f>
        <v>0</v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>
        <f>IF(B251&lt;'Умови та класичний графік'!$J$14,XIRR($G$34:G252,$C$34:C252,0),"")</f>
        <v>0.25076283691406254</v>
      </c>
      <c r="X252" s="42"/>
      <c r="Y252" s="35"/>
    </row>
    <row r="253" spans="2:25" x14ac:dyDescent="0.2">
      <c r="B253" s="25">
        <v>219</v>
      </c>
      <c r="C253" s="36">
        <f>IF(B252&lt;'Умови та класичний графік'!$J$14,EDATE(C252,1),"")</f>
        <v>50861</v>
      </c>
      <c r="D253" s="36">
        <f>IF(B252&lt;'Умови та класичний графік'!$J$14,C252,"")</f>
        <v>50830</v>
      </c>
      <c r="E253" s="26">
        <f>IF(B252&lt;'Умови та класичний графік'!$J$14,C253-1,"")</f>
        <v>50860</v>
      </c>
      <c r="F253" s="37">
        <f>IF(B252&lt;'Умови та класичний графік'!$J$14,E253-D253+1,"")</f>
        <v>31</v>
      </c>
      <c r="G253" s="140">
        <f>IF(B252&lt;'Умови та класичний графік'!$J$14,-(SUM(J253:L253)),"")</f>
        <v>181728.12970921039</v>
      </c>
      <c r="H253" s="140"/>
      <c r="I253" s="32">
        <f>IF(B252&lt;'Умови та класичний графік'!$J$14,I252+J253,"")</f>
        <v>3157293.0192409577</v>
      </c>
      <c r="J253" s="32">
        <f>IF(B252&lt;'Умови та класичний графік'!$J$14,PPMT($J$20/12,B253,$J$12,$J$11,0,0),"")</f>
        <v>-122956.98382101646</v>
      </c>
      <c r="K253" s="32">
        <f>IF(B252&lt;'Умови та класичний графік'!$J$14,IPMT($J$20/12,B253,$J$12,$J$11,0,0),"")</f>
        <v>-58771.145888193925</v>
      </c>
      <c r="L253" s="30">
        <f>IF(B252&lt;'Умови та класичний графік'!$J$14,-(SUM(M253:V253)),"")</f>
        <v>0</v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>
        <f>IF(B252&lt;'Умови та класичний графік'!$J$14,XIRR($G$34:G253,$C$34:C253,0),"")</f>
        <v>0.25085597167968754</v>
      </c>
      <c r="X253" s="42"/>
      <c r="Y253" s="35"/>
    </row>
    <row r="254" spans="2:25" x14ac:dyDescent="0.2">
      <c r="B254" s="25">
        <v>220</v>
      </c>
      <c r="C254" s="36">
        <f>IF(B253&lt;'Умови та класичний графік'!$J$14,EDATE(C253,1),"")</f>
        <v>50891</v>
      </c>
      <c r="D254" s="36">
        <f>IF(B253&lt;'Умови та класичний графік'!$J$14,C253,"")</f>
        <v>50861</v>
      </c>
      <c r="E254" s="26">
        <f>IF(B253&lt;'Умови та класичний графік'!$J$14,C254-1,"")</f>
        <v>50890</v>
      </c>
      <c r="F254" s="37">
        <f>IF(B253&lt;'Умови та класичний графік'!$J$14,E254-D254+1,"")</f>
        <v>30</v>
      </c>
      <c r="G254" s="140">
        <f>IF(B253&lt;'Умови та класичний графік'!$J$14,-(SUM(J254:L254)),"")</f>
        <v>181728.12970921036</v>
      </c>
      <c r="H254" s="140"/>
      <c r="I254" s="32">
        <f>IF(B253&lt;'Умови та класичний графік'!$J$14,I253+J254,"")</f>
        <v>3032133.0561264814</v>
      </c>
      <c r="J254" s="32">
        <f>IF(B253&lt;'Умови та класичний графік'!$J$14,PPMT($J$20/12,B254,$J$12,$J$11,0,0),"")</f>
        <v>-125159.96311447633</v>
      </c>
      <c r="K254" s="32">
        <f>IF(B253&lt;'Умови та класичний графік'!$J$14,IPMT($J$20/12,B254,$J$12,$J$11,0,0),"")</f>
        <v>-56568.166594734037</v>
      </c>
      <c r="L254" s="30">
        <f>IF(B253&lt;'Умови та класичний графік'!$J$14,-(SUM(M254:V254)),"")</f>
        <v>0</v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>
        <f>IF(B253&lt;'Умови та класичний графік'!$J$14,XIRR($G$34:G254,$C$34:C254,0),"")</f>
        <v>0.25094722167968753</v>
      </c>
      <c r="X254" s="42"/>
      <c r="Y254" s="35"/>
    </row>
    <row r="255" spans="2:25" x14ac:dyDescent="0.2">
      <c r="B255" s="25">
        <v>221</v>
      </c>
      <c r="C255" s="36">
        <f>IF(B254&lt;'Умови та класичний графік'!$J$14,EDATE(C254,1),"")</f>
        <v>50922</v>
      </c>
      <c r="D255" s="36">
        <f>IF(B254&lt;'Умови та класичний графік'!$J$14,C254,"")</f>
        <v>50891</v>
      </c>
      <c r="E255" s="26">
        <f>IF(B254&lt;'Умови та класичний графік'!$J$14,C255-1,"")</f>
        <v>50921</v>
      </c>
      <c r="F255" s="37">
        <f>IF(B254&lt;'Умови та класичний графік'!$J$14,E255-D255+1,"")</f>
        <v>31</v>
      </c>
      <c r="G255" s="140">
        <f>IF(B254&lt;'Умови та класичний графік'!$J$14,-(SUM(J255:L255)),"")</f>
        <v>181728.12970921039</v>
      </c>
      <c r="H255" s="140"/>
      <c r="I255" s="32">
        <f>IF(B254&lt;'Умови та класичний графік'!$J$14,I254+J255,"")</f>
        <v>2904730.6436728705</v>
      </c>
      <c r="J255" s="32">
        <f>IF(B254&lt;'Умови та класичний графік'!$J$14,PPMT($J$20/12,B255,$J$12,$J$11,0,0),"")</f>
        <v>-127402.41245361071</v>
      </c>
      <c r="K255" s="32">
        <f>IF(B254&lt;'Умови та класичний графік'!$J$14,IPMT($J$20/12,B255,$J$12,$J$11,0,0),"")</f>
        <v>-54325.71725559968</v>
      </c>
      <c r="L255" s="30">
        <f>IF(B254&lt;'Умови та класичний графік'!$J$14,-(SUM(M255:V255)),"")</f>
        <v>0</v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>
        <f>IF(B254&lt;'Умови та класичний графік'!$J$14,XIRR($G$34:G255,$C$34:C255,0),"")</f>
        <v>0.25103656738281255</v>
      </c>
      <c r="X255" s="42"/>
      <c r="Y255" s="35"/>
    </row>
    <row r="256" spans="2:25" x14ac:dyDescent="0.2">
      <c r="B256" s="25">
        <v>222</v>
      </c>
      <c r="C256" s="36">
        <f>IF(B255&lt;'Умови та класичний графік'!$J$14,EDATE(C255,1),"")</f>
        <v>50952</v>
      </c>
      <c r="D256" s="36">
        <f>IF(B255&lt;'Умови та класичний графік'!$J$14,C255,"")</f>
        <v>50922</v>
      </c>
      <c r="E256" s="26">
        <f>IF(B255&lt;'Умови та класичний графік'!$J$14,C256-1,"")</f>
        <v>50951</v>
      </c>
      <c r="F256" s="37">
        <f>IF(B255&lt;'Умови та класичний графік'!$J$14,E256-D256+1,"")</f>
        <v>30</v>
      </c>
      <c r="G256" s="140">
        <f>IF(B255&lt;'Умови та класичний графік'!$J$14,-(SUM(J256:L256)),"")</f>
        <v>181728.12970921039</v>
      </c>
      <c r="H256" s="140"/>
      <c r="I256" s="32">
        <f>IF(B255&lt;'Умови та класичний графік'!$J$14,I255+J256,"")</f>
        <v>2775045.6046627993</v>
      </c>
      <c r="J256" s="32">
        <f>IF(B255&lt;'Умови та класичний графік'!$J$14,PPMT($J$20/12,B256,$J$12,$J$11,0,0),"")</f>
        <v>-129685.03901007124</v>
      </c>
      <c r="K256" s="32">
        <f>IF(B255&lt;'Умови та класичний графік'!$J$14,IPMT($J$20/12,B256,$J$12,$J$11,0,0),"")</f>
        <v>-52043.090699139146</v>
      </c>
      <c r="L256" s="30">
        <f>IF(B255&lt;'Умови та класичний графік'!$J$14,-(SUM(M256:V256)),"")</f>
        <v>0</v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>
        <f>IF(B255&lt;'Умови та класичний графік'!$J$14,XIRR($G$34:G256,$C$34:C256,0),"")</f>
        <v>0.25112411621093755</v>
      </c>
      <c r="X256" s="42"/>
      <c r="Y256" s="35"/>
    </row>
    <row r="257" spans="2:25" x14ac:dyDescent="0.2">
      <c r="B257" s="25">
        <v>223</v>
      </c>
      <c r="C257" s="36">
        <f>IF(B256&lt;'Умови та класичний графік'!$J$14,EDATE(C256,1),"")</f>
        <v>50983</v>
      </c>
      <c r="D257" s="36">
        <f>IF(B256&lt;'Умови та класичний графік'!$J$14,C256,"")</f>
        <v>50952</v>
      </c>
      <c r="E257" s="26">
        <f>IF(B256&lt;'Умови та класичний графік'!$J$14,C257-1,"")</f>
        <v>50982</v>
      </c>
      <c r="F257" s="37">
        <f>IF(B256&lt;'Умови та класичний графік'!$J$14,E257-D257+1,"")</f>
        <v>31</v>
      </c>
      <c r="G257" s="140">
        <f>IF(B256&lt;'Умови та класичний графік'!$J$14,-(SUM(J257:L257)),"")</f>
        <v>181728.12970921036</v>
      </c>
      <c r="H257" s="140"/>
      <c r="I257" s="32">
        <f>IF(B256&lt;'Умови та класичний графік'!$J$14,I256+J257,"")</f>
        <v>2643037.0420371308</v>
      </c>
      <c r="J257" s="32">
        <f>IF(B256&lt;'Умови та класичний графік'!$J$14,PPMT($J$20/12,B257,$J$12,$J$11,0,0),"")</f>
        <v>-132008.56262566833</v>
      </c>
      <c r="K257" s="32">
        <f>IF(B256&lt;'Умови та класичний графік'!$J$14,IPMT($J$20/12,B257,$J$12,$J$11,0,0),"")</f>
        <v>-49719.567083542031</v>
      </c>
      <c r="L257" s="30">
        <f>IF(B256&lt;'Умови та класичний графік'!$J$14,-(SUM(M257:V257)),"")</f>
        <v>0</v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>
        <f>IF(B256&lt;'Умови та класичний графік'!$J$14,XIRR($G$34:G257,$C$34:C257,0),"")</f>
        <v>0.25120983886718751</v>
      </c>
      <c r="X257" s="42"/>
      <c r="Y257" s="35"/>
    </row>
    <row r="258" spans="2:25" x14ac:dyDescent="0.2">
      <c r="B258" s="25">
        <v>224</v>
      </c>
      <c r="C258" s="36">
        <f>IF(B257&lt;'Умови та класичний графік'!$J$14,EDATE(C257,1),"")</f>
        <v>51014</v>
      </c>
      <c r="D258" s="36">
        <f>IF(B257&lt;'Умови та класичний графік'!$J$14,C257,"")</f>
        <v>50983</v>
      </c>
      <c r="E258" s="26">
        <f>IF(B257&lt;'Умови та класичний графік'!$J$14,C258-1,"")</f>
        <v>51013</v>
      </c>
      <c r="F258" s="37">
        <f>IF(B257&lt;'Умови та класичний графік'!$J$14,E258-D258+1,"")</f>
        <v>31</v>
      </c>
      <c r="G258" s="140">
        <f>IF(B257&lt;'Умови та класичний графік'!$J$14,-(SUM(J258:L258)),"")</f>
        <v>181728.12970921036</v>
      </c>
      <c r="H258" s="140"/>
      <c r="I258" s="32">
        <f>IF(B257&lt;'Умови та класичний графік'!$J$14,I257+J258,"")</f>
        <v>2508663.3259977526</v>
      </c>
      <c r="J258" s="32">
        <f>IF(B257&lt;'Умови та класичний графік'!$J$14,PPMT($J$20/12,B258,$J$12,$J$11,0,0),"")</f>
        <v>-134373.71603937823</v>
      </c>
      <c r="K258" s="32">
        <f>IF(B257&lt;'Умови та класичний графік'!$J$14,IPMT($J$20/12,B258,$J$12,$J$11,0,0),"")</f>
        <v>-47354.413669832138</v>
      </c>
      <c r="L258" s="30">
        <f>IF(B257&lt;'Умови та класичний графік'!$J$14,-(SUM(M258:V258)),"")</f>
        <v>0</v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>
        <f>IF(B257&lt;'Умови та класичний графік'!$J$14,XIRR($G$34:G258,$C$34:C258,0),"")</f>
        <v>0.25129377441406242</v>
      </c>
      <c r="X258" s="42"/>
      <c r="Y258" s="35"/>
    </row>
    <row r="259" spans="2:25" x14ac:dyDescent="0.2">
      <c r="B259" s="25">
        <v>225</v>
      </c>
      <c r="C259" s="36">
        <f>IF(B258&lt;'Умови та класичний графік'!$J$14,EDATE(C258,1),"")</f>
        <v>51044</v>
      </c>
      <c r="D259" s="36">
        <f>IF(B258&lt;'Умови та класичний графік'!$J$14,C258,"")</f>
        <v>51014</v>
      </c>
      <c r="E259" s="26">
        <f>IF(B258&lt;'Умови та класичний графік'!$J$14,C259-1,"")</f>
        <v>51043</v>
      </c>
      <c r="F259" s="37">
        <f>IF(B258&lt;'Умови та класичний графік'!$J$14,E259-D259+1,"")</f>
        <v>30</v>
      </c>
      <c r="G259" s="140">
        <f>IF(B258&lt;'Умови та класичний графік'!$J$14,-(SUM(J259:L259)),"")</f>
        <v>181728.12970921039</v>
      </c>
      <c r="H259" s="140"/>
      <c r="I259" s="32">
        <f>IF(B258&lt;'Умови та класичний графік'!$J$14,I258+J259,"")</f>
        <v>2371882.0808793353</v>
      </c>
      <c r="J259" s="32">
        <f>IF(B258&lt;'Умови та класичний графік'!$J$14,PPMT($J$20/12,B259,$J$12,$J$11,0,0),"")</f>
        <v>-136781.24511841711</v>
      </c>
      <c r="K259" s="32">
        <f>IF(B258&lt;'Умови та класичний графік'!$J$14,IPMT($J$20/12,B259,$J$12,$J$11,0,0),"")</f>
        <v>-44946.884590793292</v>
      </c>
      <c r="L259" s="30">
        <f>IF(B258&lt;'Умови та класичний графік'!$J$14,-(SUM(M259:V259)),"")</f>
        <v>0</v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>
        <f>IF(B258&lt;'Умови та класичний графік'!$J$14,XIRR($G$34:G259,$C$34:C259,0),"")</f>
        <v>0.25137603027343747</v>
      </c>
      <c r="X259" s="42"/>
      <c r="Y259" s="35"/>
    </row>
    <row r="260" spans="2:25" x14ac:dyDescent="0.2">
      <c r="B260" s="25">
        <v>226</v>
      </c>
      <c r="C260" s="36">
        <f>IF(B259&lt;'Умови та класичний графік'!$J$14,EDATE(C259,1),"")</f>
        <v>51075</v>
      </c>
      <c r="D260" s="36">
        <f>IF(B259&lt;'Умови та класичний графік'!$J$14,C259,"")</f>
        <v>51044</v>
      </c>
      <c r="E260" s="26">
        <f>IF(B259&lt;'Умови та класичний графік'!$J$14,C260-1,"")</f>
        <v>51074</v>
      </c>
      <c r="F260" s="37">
        <f>IF(B259&lt;'Умови та класичний графік'!$J$14,E260-D260+1,"")</f>
        <v>31</v>
      </c>
      <c r="G260" s="140">
        <f>IF(B259&lt;'Умови та класичний графік'!$J$14,-(SUM(J260:L260)),"")</f>
        <v>181728.12970921039</v>
      </c>
      <c r="H260" s="140"/>
      <c r="I260" s="32">
        <f>IF(B259&lt;'Умови та класичний графік'!$J$14,I259+J260,"")</f>
        <v>2232650.1717858799</v>
      </c>
      <c r="J260" s="32">
        <f>IF(B259&lt;'Умови та класичний графік'!$J$14,PPMT($J$20/12,B260,$J$12,$J$11,0,0),"")</f>
        <v>-139231.90909345541</v>
      </c>
      <c r="K260" s="32">
        <f>IF(B259&lt;'Умови та класичний графік'!$J$14,IPMT($J$20/12,B260,$J$12,$J$11,0,0),"")</f>
        <v>-42496.220615754988</v>
      </c>
      <c r="L260" s="30">
        <f>IF(B259&lt;'Умови та класичний графік'!$J$14,-(SUM(M260:V260)),"")</f>
        <v>0</v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>
        <f>IF(B259&lt;'Умови та класичний графік'!$J$14,XIRR($G$34:G260,$C$34:C260,0),"")</f>
        <v>0.25145658691406259</v>
      </c>
      <c r="X260" s="42"/>
      <c r="Y260" s="35"/>
    </row>
    <row r="261" spans="2:25" x14ac:dyDescent="0.2">
      <c r="B261" s="25">
        <v>227</v>
      </c>
      <c r="C261" s="36">
        <f>IF(B260&lt;'Умови та класичний графік'!$J$14,EDATE(C260,1),"")</f>
        <v>51105</v>
      </c>
      <c r="D261" s="36">
        <f>IF(B260&lt;'Умови та класичний графік'!$J$14,C260,"")</f>
        <v>51075</v>
      </c>
      <c r="E261" s="26">
        <f>IF(B260&lt;'Умови та класичний графік'!$J$14,C261-1,"")</f>
        <v>51104</v>
      </c>
      <c r="F261" s="37">
        <f>IF(B260&lt;'Умови та класичний графік'!$J$14,E261-D261+1,"")</f>
        <v>30</v>
      </c>
      <c r="G261" s="140">
        <f>IF(B260&lt;'Умови та класичний графік'!$J$14,-(SUM(J261:L261)),"")</f>
        <v>181728.12970921039</v>
      </c>
      <c r="H261" s="140"/>
      <c r="I261" s="32">
        <f>IF(B260&lt;'Умови та класичний графік'!$J$14,I260+J261,"")</f>
        <v>2090923.6909878333</v>
      </c>
      <c r="J261" s="32">
        <f>IF(B260&lt;'Умови та класичний графік'!$J$14,PPMT($J$20/12,B261,$J$12,$J$11,0,0),"")</f>
        <v>-141726.48079804648</v>
      </c>
      <c r="K261" s="32">
        <f>IF(B260&lt;'Умови та класичний графік'!$J$14,IPMT($J$20/12,B261,$J$12,$J$11,0,0),"")</f>
        <v>-40001.648911163909</v>
      </c>
      <c r="L261" s="30">
        <f>IF(B260&lt;'Умови та класичний графік'!$J$14,-(SUM(M261:V261)),"")</f>
        <v>0</v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>
        <f>IF(B260&lt;'Умови та класичний графік'!$J$14,XIRR($G$34:G261,$C$34:C261,0),"")</f>
        <v>0.25153551269531238</v>
      </c>
      <c r="X261" s="42"/>
      <c r="Y261" s="35"/>
    </row>
    <row r="262" spans="2:25" x14ac:dyDescent="0.2">
      <c r="B262" s="25">
        <v>228</v>
      </c>
      <c r="C262" s="36">
        <f>IF(B261&lt;'Умови та класичний графік'!$J$14,EDATE(C261,1),"")</f>
        <v>51136</v>
      </c>
      <c r="D262" s="36">
        <f>IF(B261&lt;'Умови та класичний графік'!$J$14,C261,"")</f>
        <v>51105</v>
      </c>
      <c r="E262" s="26">
        <f>IF(B261&lt;'Умови та класичний графік'!$J$14,C262-1,"")</f>
        <v>51135</v>
      </c>
      <c r="F262" s="37">
        <f>IF(B261&lt;'Умови та класичний графік'!$J$14,E262-D262+1,"")</f>
        <v>31</v>
      </c>
      <c r="G262" s="140">
        <f>IF(B261&lt;'Умови та класичний графік'!$J$14,-(SUM(J262:L262)),"")</f>
        <v>228068.10354143684</v>
      </c>
      <c r="H262" s="140"/>
      <c r="I262" s="32">
        <f>IF(B261&lt;'Умови та класичний графік'!$J$14,I261+J262,"")</f>
        <v>1946657.9440754885</v>
      </c>
      <c r="J262" s="32">
        <f>IF(B261&lt;'Умови та класичний графік'!$J$14,PPMT($J$20/12,B262,$J$12,$J$11,0,0),"")</f>
        <v>-144265.7469123448</v>
      </c>
      <c r="K262" s="32">
        <f>IF(B261&lt;'Умови та класичний графік'!$J$14,IPMT($J$20/12,B262,$J$12,$J$11,0,0),"")</f>
        <v>-37462.382796865568</v>
      </c>
      <c r="L262" s="30">
        <f>IF(B261&lt;'Умови та класичний графік'!$J$14,-(SUM(M262:V262)),"")</f>
        <v>-46339.973832226467</v>
      </c>
      <c r="M262" s="38"/>
      <c r="N262" s="39"/>
      <c r="O262" s="39"/>
      <c r="P262" s="32"/>
      <c r="Q262" s="40"/>
      <c r="R262" s="40"/>
      <c r="S262" s="41"/>
      <c r="T262" s="41"/>
      <c r="U262" s="33">
        <f>IF(B261&lt;'Умови та класичний графік'!$J$14,('Умови та класичний графік'!$J$15*$N$18)+(I262*$N$19),"")</f>
        <v>46339.973832226467</v>
      </c>
      <c r="V262" s="41"/>
      <c r="W262" s="43">
        <f>IF(B261&lt;'Умови та класичний графік'!$J$14,XIRR($G$34:G262,$C$34:C262,0),"")</f>
        <v>0.25163250488281241</v>
      </c>
      <c r="X262" s="42"/>
      <c r="Y262" s="35"/>
    </row>
    <row r="263" spans="2:25" x14ac:dyDescent="0.2">
      <c r="B263" s="25">
        <v>229</v>
      </c>
      <c r="C263" s="36">
        <f>IF(B262&lt;'Умови та класичний графік'!$J$14,EDATE(C262,1),"")</f>
        <v>51167</v>
      </c>
      <c r="D263" s="36">
        <f>IF(B262&lt;'Умови та класичний графік'!$J$14,C262,"")</f>
        <v>51136</v>
      </c>
      <c r="E263" s="26">
        <f>IF(B262&lt;'Умови та класичний графік'!$J$14,C263-1,"")</f>
        <v>51166</v>
      </c>
      <c r="F263" s="37">
        <f>IF(B262&lt;'Умови та класичний графік'!$J$14,E263-D263+1,"")</f>
        <v>31</v>
      </c>
      <c r="G263" s="140">
        <f>IF(B262&lt;'Умови та класичний графік'!$J$14,-(SUM(J263:L263)),"")</f>
        <v>181728.12970921036</v>
      </c>
      <c r="H263" s="140"/>
      <c r="I263" s="32">
        <f>IF(B262&lt;'Умови та класичний графік'!$J$14,I262+J263,"")</f>
        <v>1799807.4358642974</v>
      </c>
      <c r="J263" s="32">
        <f>IF(B262&lt;'Умови та класичний графік'!$J$14,PPMT($J$20/12,B263,$J$12,$J$11,0,0),"")</f>
        <v>-146850.50821119099</v>
      </c>
      <c r="K263" s="32">
        <f>IF(B262&lt;'Умови та класичний графік'!$J$14,IPMT($J$20/12,B263,$J$12,$J$11,0,0),"")</f>
        <v>-34877.621498019391</v>
      </c>
      <c r="L263" s="30">
        <f>IF(B262&lt;'Умови та класичний графік'!$J$14,-(SUM(M263:V263)),"")</f>
        <v>0</v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>
        <f>IF(B262&lt;'Умови та класичний графік'!$J$14,XIRR($G$34:G263,$C$34:C263,0),"")</f>
        <v>0.25170817871093742</v>
      </c>
      <c r="X263" s="42"/>
      <c r="Y263" s="35"/>
    </row>
    <row r="264" spans="2:25" x14ac:dyDescent="0.2">
      <c r="B264" s="25">
        <v>230</v>
      </c>
      <c r="C264" s="36">
        <f>IF(B263&lt;'Умови та класичний графік'!$J$14,EDATE(C263,1),"")</f>
        <v>51196</v>
      </c>
      <c r="D264" s="36">
        <f>IF(B263&lt;'Умови та класичний графік'!$J$14,C263,"")</f>
        <v>51167</v>
      </c>
      <c r="E264" s="26">
        <f>IF(B263&lt;'Умови та класичний графік'!$J$14,C264-1,"")</f>
        <v>51195</v>
      </c>
      <c r="F264" s="37">
        <f>IF(B263&lt;'Умови та класичний графік'!$J$14,E264-D264+1,"")</f>
        <v>29</v>
      </c>
      <c r="G264" s="140">
        <f>IF(B263&lt;'Умови та класичний графік'!$J$14,-(SUM(J264:L264)),"")</f>
        <v>181728.12970921036</v>
      </c>
      <c r="H264" s="140"/>
      <c r="I264" s="32">
        <f>IF(B263&lt;'Умови та класичний графік'!$J$14,I263+J264,"")</f>
        <v>1650325.8560476559</v>
      </c>
      <c r="J264" s="32">
        <f>IF(B263&lt;'Умови та класичний графік'!$J$14,PPMT($J$20/12,B264,$J$12,$J$11,0,0),"")</f>
        <v>-149481.57981664149</v>
      </c>
      <c r="K264" s="32">
        <f>IF(B263&lt;'Умови та класичний графік'!$J$14,IPMT($J$20/12,B264,$J$12,$J$11,0,0),"")</f>
        <v>-32246.549892568888</v>
      </c>
      <c r="L264" s="30">
        <f>IF(B263&lt;'Умови та класичний графік'!$J$14,-(SUM(M264:V264)),"")</f>
        <v>0</v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>
        <f>IF(B263&lt;'Умови та класичний графік'!$J$14,XIRR($G$34:G264,$C$34:C264,0),"")</f>
        <v>0.2517823779296875</v>
      </c>
      <c r="X264" s="42"/>
      <c r="Y264" s="35"/>
    </row>
    <row r="265" spans="2:25" x14ac:dyDescent="0.2">
      <c r="B265" s="25">
        <v>231</v>
      </c>
      <c r="C265" s="36">
        <f>IF(B264&lt;'Умови та класичний графік'!$J$14,EDATE(C264,1),"")</f>
        <v>51227</v>
      </c>
      <c r="D265" s="36">
        <f>IF(B264&lt;'Умови та класичний графік'!$J$14,C264,"")</f>
        <v>51196</v>
      </c>
      <c r="E265" s="26">
        <f>IF(B264&lt;'Умови та класичний графік'!$J$14,C265-1,"")</f>
        <v>51226</v>
      </c>
      <c r="F265" s="37">
        <f>IF(B264&lt;'Умови та класичний графік'!$J$14,E265-D265+1,"")</f>
        <v>31</v>
      </c>
      <c r="G265" s="140">
        <f>IF(B264&lt;'Умови та класичний графік'!$J$14,-(SUM(J265:L265)),"")</f>
        <v>181728.12970921039</v>
      </c>
      <c r="H265" s="140"/>
      <c r="I265" s="32">
        <f>IF(B264&lt;'Умови та класичний графік'!$J$14,I264+J265,"")</f>
        <v>1498166.0645926329</v>
      </c>
      <c r="J265" s="32">
        <f>IF(B264&lt;'Умови та класичний графік'!$J$14,PPMT($J$20/12,B265,$J$12,$J$11,0,0),"")</f>
        <v>-152159.79145502299</v>
      </c>
      <c r="K265" s="32">
        <f>IF(B264&lt;'Умови та класичний графік'!$J$14,IPMT($J$20/12,B265,$J$12,$J$11,0,0),"")</f>
        <v>-29568.338254187394</v>
      </c>
      <c r="L265" s="30">
        <f>IF(B264&lt;'Умови та класичний графік'!$J$14,-(SUM(M265:V265)),"")</f>
        <v>0</v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>
        <f>IF(B264&lt;'Умови та класичний графік'!$J$14,XIRR($G$34:G265,$C$34:C265,0),"")</f>
        <v>0.25185504394531244</v>
      </c>
      <c r="X265" s="42"/>
      <c r="Y265" s="35"/>
    </row>
    <row r="266" spans="2:25" x14ac:dyDescent="0.2">
      <c r="B266" s="25">
        <v>232</v>
      </c>
      <c r="C266" s="36">
        <f>IF(B265&lt;'Умови та класичний графік'!$J$14,EDATE(C265,1),"")</f>
        <v>51257</v>
      </c>
      <c r="D266" s="36">
        <f>IF(B265&lt;'Умови та класичний графік'!$J$14,C265,"")</f>
        <v>51227</v>
      </c>
      <c r="E266" s="26">
        <f>IF(B265&lt;'Умови та класичний графік'!$J$14,C266-1,"")</f>
        <v>51256</v>
      </c>
      <c r="F266" s="37">
        <f>IF(B265&lt;'Умови та класичний графік'!$J$14,E266-D266+1,"")</f>
        <v>30</v>
      </c>
      <c r="G266" s="140">
        <f>IF(B265&lt;'Умови та класичний графік'!$J$14,-(SUM(J266:L266)),"")</f>
        <v>181728.12970921039</v>
      </c>
      <c r="H266" s="140"/>
      <c r="I266" s="32">
        <f>IF(B265&lt;'Умови та класичний графік'!$J$14,I265+J266,"")</f>
        <v>1343280.0768740408</v>
      </c>
      <c r="J266" s="32">
        <f>IF(B265&lt;'Умови та класичний графік'!$J$14,PPMT($J$20/12,B266,$J$12,$J$11,0,0),"")</f>
        <v>-154885.98771859217</v>
      </c>
      <c r="K266" s="32">
        <f>IF(B265&lt;'Умови та класичний графік'!$J$14,IPMT($J$20/12,B266,$J$12,$J$11,0,0),"")</f>
        <v>-26842.141990618235</v>
      </c>
      <c r="L266" s="30">
        <f>IF(B265&lt;'Умови та класичний графік'!$J$14,-(SUM(M266:V266)),"")</f>
        <v>0</v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>
        <f>IF(B265&lt;'Умови та класичний графік'!$J$14,XIRR($G$34:G266,$C$34:C266,0),"")</f>
        <v>0.25192626464843748</v>
      </c>
      <c r="X266" s="42"/>
      <c r="Y266" s="35"/>
    </row>
    <row r="267" spans="2:25" x14ac:dyDescent="0.2">
      <c r="B267" s="47">
        <v>233</v>
      </c>
      <c r="C267" s="36">
        <f>IF(B266&lt;'Умови та класичний графік'!$J$14,EDATE(C266,1),"")</f>
        <v>51288</v>
      </c>
      <c r="D267" s="36">
        <f>IF(B266&lt;'Умови та класичний графік'!$J$14,C266,"")</f>
        <v>51257</v>
      </c>
      <c r="E267" s="26">
        <f>IF(B266&lt;'Умови та класичний графік'!$J$14,C267-1,"")</f>
        <v>51287</v>
      </c>
      <c r="F267" s="37">
        <f>IF(B266&lt;'Умови та класичний графік'!$J$14,E267-D267+1,"")</f>
        <v>31</v>
      </c>
      <c r="G267" s="140">
        <f>IF(B266&lt;'Умови та класичний графік'!$J$14,-(SUM(J267:L267)),"")</f>
        <v>181728.12970921039</v>
      </c>
      <c r="H267" s="140"/>
      <c r="I267" s="32">
        <f>IF(B266&lt;'Умови та класичний графік'!$J$14,I266+J267,"")</f>
        <v>1185619.0485421573</v>
      </c>
      <c r="J267" s="32">
        <f>IF(B266&lt;'Умови та класичний графік'!$J$14,PPMT($J$20/12,B267,$J$12,$J$11,0,0),"")</f>
        <v>-157661.0283318836</v>
      </c>
      <c r="K267" s="32">
        <f>IF(B266&lt;'Умови та класичний графік'!$J$14,IPMT($J$20/12,B267,$J$12,$J$11,0,0),"")</f>
        <v>-24067.101377326788</v>
      </c>
      <c r="L267" s="30">
        <f>IF(B266&lt;'Умови та класичний графік'!$J$14,-(SUM(M267:V267)),"")</f>
        <v>0</v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>
        <f>IF(B266&lt;'Умови та класичний графік'!$J$14,XIRR($G$34:G267,$C$34:C267,0),"")</f>
        <v>0.25199602050781245</v>
      </c>
      <c r="X267" s="42"/>
      <c r="Y267" s="35"/>
    </row>
    <row r="268" spans="2:25" x14ac:dyDescent="0.2">
      <c r="B268" s="47">
        <v>234</v>
      </c>
      <c r="C268" s="36">
        <f>IF(B267&lt;'Умови та класичний графік'!$J$14,EDATE(C267,1),"")</f>
        <v>51318</v>
      </c>
      <c r="D268" s="36">
        <f>IF(B267&lt;'Умови та класичний графік'!$J$14,C267,"")</f>
        <v>51288</v>
      </c>
      <c r="E268" s="26">
        <f>IF(B267&lt;'Умови та класичний графік'!$J$14,C268-1,"")</f>
        <v>51317</v>
      </c>
      <c r="F268" s="37">
        <f>IF(B267&lt;'Умови та класичний графік'!$J$14,E268-D268+1,"")</f>
        <v>30</v>
      </c>
      <c r="G268" s="140">
        <f>IF(B267&lt;'Умови та класичний графік'!$J$14,-(SUM(J268:L268)),"")</f>
        <v>181728.12970921036</v>
      </c>
      <c r="H268" s="140"/>
      <c r="I268" s="32">
        <f>IF(B267&lt;'Умови та класичний графік'!$J$14,I267+J268,"")</f>
        <v>1025133.2601193275</v>
      </c>
      <c r="J268" s="32">
        <f>IF(B267&lt;'Умови та класичний графік'!$J$14,PPMT($J$20/12,B268,$J$12,$J$11,0,0),"")</f>
        <v>-160485.78842282982</v>
      </c>
      <c r="K268" s="32">
        <f>IF(B267&lt;'Умови та класичний графік'!$J$14,IPMT($J$20/12,B268,$J$12,$J$11,0,0),"")</f>
        <v>-21242.341286380539</v>
      </c>
      <c r="L268" s="30">
        <f>IF(B267&lt;'Умови та класичний графік'!$J$14,-(SUM(M268:V268)),"")</f>
        <v>0</v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>
        <f>IF(B267&lt;'Умови та класичний графік'!$J$14,XIRR($G$34:G268,$C$34:C268,0),"")</f>
        <v>0.25206438964843747</v>
      </c>
      <c r="X268" s="42"/>
      <c r="Y268" s="35"/>
    </row>
    <row r="269" spans="2:25" x14ac:dyDescent="0.2">
      <c r="B269" s="47">
        <v>235</v>
      </c>
      <c r="C269" s="36">
        <f>IF(B268&lt;'Умови та класичний графік'!$J$14,EDATE(C268,1),"")</f>
        <v>51349</v>
      </c>
      <c r="D269" s="36">
        <f>IF(B268&lt;'Умови та класичний графік'!$J$14,C268,"")</f>
        <v>51318</v>
      </c>
      <c r="E269" s="26">
        <f>IF(B268&lt;'Умови та класичний графік'!$J$14,C269-1,"")</f>
        <v>51348</v>
      </c>
      <c r="F269" s="37">
        <f>IF(B268&lt;'Умови та класичний графік'!$J$14,E269-D269+1,"")</f>
        <v>31</v>
      </c>
      <c r="G269" s="140">
        <f>IF(B268&lt;'Умови та класичний графік'!$J$14,-(SUM(J269:L269)),"")</f>
        <v>181728.12970921039</v>
      </c>
      <c r="H269" s="140"/>
      <c r="I269" s="32">
        <f>IF(B268&lt;'Умови та класичний графік'!$J$14,I268+J269,"")</f>
        <v>861772.10132058861</v>
      </c>
      <c r="J269" s="32">
        <f>IF(B268&lt;'Умови та класичний графік'!$J$14,PPMT($J$20/12,B269,$J$12,$J$11,0,0),"")</f>
        <v>-163361.15879873888</v>
      </c>
      <c r="K269" s="32">
        <f>IF(B268&lt;'Умови та класичний графік'!$J$14,IPMT($J$20/12,B269,$J$12,$J$11,0,0),"")</f>
        <v>-18366.970910471504</v>
      </c>
      <c r="L269" s="30">
        <f>IF(B268&lt;'Умови та класичний графік'!$J$14,-(SUM(M269:V269)),"")</f>
        <v>0</v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>
        <f>IF(B268&lt;'Умови та класичний графік'!$J$14,XIRR($G$34:G269,$C$34:C269,0),"")</f>
        <v>0.2521313525390626</v>
      </c>
      <c r="X269" s="42"/>
      <c r="Y269" s="35"/>
    </row>
    <row r="270" spans="2:25" x14ac:dyDescent="0.2">
      <c r="B270" s="47">
        <v>236</v>
      </c>
      <c r="C270" s="36">
        <f>IF(B269&lt;'Умови та класичний графік'!$J$14,EDATE(C269,1),"")</f>
        <v>51380</v>
      </c>
      <c r="D270" s="36">
        <f>IF(B269&lt;'Умови та класичний графік'!$J$14,C269,"")</f>
        <v>51349</v>
      </c>
      <c r="E270" s="26">
        <f>IF(B269&lt;'Умови та класичний графік'!$J$14,C270-1,"")</f>
        <v>51379</v>
      </c>
      <c r="F270" s="37">
        <f>IF(B269&lt;'Умови та класичний графік'!$J$14,E270-D270+1,"")</f>
        <v>31</v>
      </c>
      <c r="G270" s="140">
        <f>IF(B269&lt;'Умови та класичний графік'!$J$14,-(SUM(J270:L270)),"")</f>
        <v>181728.12970921036</v>
      </c>
      <c r="H270" s="140"/>
      <c r="I270" s="32">
        <f>IF(B269&lt;'Умови та класичний графік'!$J$14,I269+J270,"")</f>
        <v>695484.05509337236</v>
      </c>
      <c r="J270" s="32">
        <f>IF(B269&lt;'Умови та класичний графік'!$J$14,PPMT($J$20/12,B270,$J$12,$J$11,0,0),"")</f>
        <v>-166288.04622721625</v>
      </c>
      <c r="K270" s="32">
        <f>IF(B269&lt;'Умови та класичний графік'!$J$14,IPMT($J$20/12,B270,$J$12,$J$11,0,0),"")</f>
        <v>-15440.083481994099</v>
      </c>
      <c r="L270" s="30">
        <f>IF(B269&lt;'Умови та класичний графік'!$J$14,-(SUM(M270:V270)),"")</f>
        <v>0</v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>
        <f>IF(B269&lt;'Умови та класичний графік'!$J$14,XIRR($G$34:G270,$C$34:C270,0),"")</f>
        <v>0.25219693847656255</v>
      </c>
      <c r="X270" s="42"/>
      <c r="Y270" s="35"/>
    </row>
    <row r="271" spans="2:25" x14ac:dyDescent="0.2">
      <c r="B271" s="47">
        <v>237</v>
      </c>
      <c r="C271" s="36">
        <f>IF(B270&lt;'Умови та класичний графік'!$J$14,EDATE(C270,1),"")</f>
        <v>51410</v>
      </c>
      <c r="D271" s="36">
        <f>IF(B270&lt;'Умови та класичний графік'!$J$14,C270,"")</f>
        <v>51380</v>
      </c>
      <c r="E271" s="26">
        <f>IF(B270&lt;'Умови та класичний графік'!$J$14,C271-1,"")</f>
        <v>51409</v>
      </c>
      <c r="F271" s="37">
        <f>IF(B270&lt;'Умови та класичний графік'!$J$14,E271-D271+1,"")</f>
        <v>30</v>
      </c>
      <c r="G271" s="140">
        <f>IF(B270&lt;'Умови та класичний графік'!$J$14,-(SUM(J271:L271)),"")</f>
        <v>181728.12970921036</v>
      </c>
      <c r="H271" s="140"/>
      <c r="I271" s="32">
        <f>IF(B270&lt;'Умови та класичний графік'!$J$14,I270+J271,"")</f>
        <v>526216.68137125182</v>
      </c>
      <c r="J271" s="32">
        <f>IF(B270&lt;'Умови та класичний графік'!$J$14,PPMT($J$20/12,B271,$J$12,$J$11,0,0),"")</f>
        <v>-169267.37372212057</v>
      </c>
      <c r="K271" s="32">
        <f>IF(B270&lt;'Умови та класичний графік'!$J$14,IPMT($J$20/12,B271,$J$12,$J$11,0,0),"")</f>
        <v>-12460.755987089809</v>
      </c>
      <c r="L271" s="30">
        <f>IF(B270&lt;'Умови та класичний графік'!$J$14,-(SUM(M271:V271)),"")</f>
        <v>0</v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>
        <f>IF(B270&lt;'Умови та класичний графік'!$J$14,XIRR($G$34:G271,$C$34:C271,0),"")</f>
        <v>0.25226122558593755</v>
      </c>
      <c r="X271" s="42"/>
      <c r="Y271" s="35"/>
    </row>
    <row r="272" spans="2:25" x14ac:dyDescent="0.2">
      <c r="B272" s="47">
        <v>238</v>
      </c>
      <c r="C272" s="36">
        <f>IF(B271&lt;'Умови та класичний графік'!$J$14,EDATE(C271,1),"")</f>
        <v>51441</v>
      </c>
      <c r="D272" s="36">
        <f>IF(B271&lt;'Умови та класичний графік'!$J$14,C271,"")</f>
        <v>51410</v>
      </c>
      <c r="E272" s="26">
        <f>IF(B271&lt;'Умови та класичний графік'!$J$14,C272-1,"")</f>
        <v>51440</v>
      </c>
      <c r="F272" s="37">
        <f>IF(B271&lt;'Умови та класичний графік'!$J$14,E272-D272+1,"")</f>
        <v>31</v>
      </c>
      <c r="G272" s="140">
        <f>IF(B271&lt;'Умови та класичний графік'!$J$14,-(SUM(J272:L272)),"")</f>
        <v>181728.12970921039</v>
      </c>
      <c r="H272" s="140"/>
      <c r="I272" s="32">
        <f>IF(B271&lt;'Умови та класичний графік'!$J$14,I271+J272,"")</f>
        <v>353916.60053660988</v>
      </c>
      <c r="J272" s="32">
        <f>IF(B271&lt;'Умови та класичний графік'!$J$14,PPMT($J$20/12,B272,$J$12,$J$11,0,0),"")</f>
        <v>-172300.08083464191</v>
      </c>
      <c r="K272" s="32">
        <f>IF(B271&lt;'Умови та класичний графік'!$J$14,IPMT($J$20/12,B272,$J$12,$J$11,0,0),"")</f>
        <v>-9428.0488745684816</v>
      </c>
      <c r="L272" s="30">
        <f>IF(B271&lt;'Умови та класичний графік'!$J$14,-(SUM(M272:V272)),"")</f>
        <v>0</v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>
        <f>IF(B271&lt;'Умови та класичний графік'!$J$14,XIRR($G$34:G272,$C$34:C272,0),"")</f>
        <v>0.25232420410156253</v>
      </c>
      <c r="X272" s="49"/>
      <c r="Y272" s="35"/>
    </row>
    <row r="273" spans="2:25" x14ac:dyDescent="0.2">
      <c r="B273" s="47">
        <v>239</v>
      </c>
      <c r="C273" s="36">
        <f>IF(B272&lt;'Умови та класичний графік'!$J$14,EDATE(C272,1),"")</f>
        <v>51471</v>
      </c>
      <c r="D273" s="36">
        <f>IF(B272&lt;'Умови та класичний графік'!$J$14,C272,"")</f>
        <v>51441</v>
      </c>
      <c r="E273" s="26">
        <f>IF(B272&lt;'Умови та класичний графік'!$J$14,C273-1,"")</f>
        <v>51470</v>
      </c>
      <c r="F273" s="37">
        <f>IF(B272&lt;'Умови та класичний графік'!$J$14,E273-D273+1,"")</f>
        <v>30</v>
      </c>
      <c r="G273" s="140">
        <f>IF(B272&lt;'Умови та класичний графік'!$J$14,-(SUM(J273:L273)),"")</f>
        <v>181728.12970921039</v>
      </c>
      <c r="H273" s="140"/>
      <c r="I273" s="32">
        <f>IF(B272&lt;'Умови та класичний графік'!$J$14,I272+J273,"")</f>
        <v>178529.47658701398</v>
      </c>
      <c r="J273" s="32">
        <f>IF(B272&lt;'Умови та класичний графік'!$J$14,PPMT($J$20/12,B273,$J$12,$J$11,0,0),"")</f>
        <v>-175387.1239495959</v>
      </c>
      <c r="K273" s="32">
        <f>IF(B272&lt;'Умови та класичний графік'!$J$14,IPMT($J$20/12,B273,$J$12,$J$11,0,0),"")</f>
        <v>-6341.0057596144788</v>
      </c>
      <c r="L273" s="30">
        <f>IF(B272&lt;'Умови та класичний графік'!$J$14,-(SUM(M273:V273)),"")</f>
        <v>0</v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>
        <f>IF(B272&lt;'Умови та класичний графік'!$J$14,XIRR($G$34:G273,$C$34:C273,0),"")</f>
        <v>0.25238592285156258</v>
      </c>
      <c r="X273" s="49"/>
      <c r="Y273" s="35"/>
    </row>
    <row r="274" spans="2:25" x14ac:dyDescent="0.2">
      <c r="B274" s="47">
        <v>240</v>
      </c>
      <c r="C274" s="36">
        <f>IF(B273&lt;'Умови та класичний графік'!$J$14,EDATE(C273,1),"")</f>
        <v>51502</v>
      </c>
      <c r="D274" s="36">
        <f>IF(B273&lt;'Умови та класичний графік'!$J$14,C273,"")</f>
        <v>51471</v>
      </c>
      <c r="E274" s="26">
        <f>IF(B273&lt;'Умови та класичний графік'!$J$14,C274-1,"")</f>
        <v>51501</v>
      </c>
      <c r="F274" s="37">
        <f>IF(B273&lt;'Умови та класичний графік'!$J$14,E274-D274+1,"")</f>
        <v>31</v>
      </c>
      <c r="G274" s="140">
        <f>IF(B273&lt;'Умови та класичний графік'!$J$14,-(SUM(J274:L274)),"")</f>
        <v>181728.12970921039</v>
      </c>
      <c r="H274" s="140"/>
      <c r="I274" s="32">
        <f>IF(B273&lt;'Умови та класичний графік'!$J$14,I273+J274,"")</f>
        <v>-1.2194504961371422E-8</v>
      </c>
      <c r="J274" s="32">
        <f>IF(B273&lt;'Умови та класичний графік'!$J$14,PPMT($J$20/12,B274,$J$12,$J$11,0,0),"")</f>
        <v>-178529.47658702618</v>
      </c>
      <c r="K274" s="32">
        <f>IF(B273&lt;'Умови та класичний графік'!$J$14,IPMT($J$20/12,B274,$J$12,$J$11,0,0),"")</f>
        <v>-3198.6531221842192</v>
      </c>
      <c r="L274" s="30">
        <f>IF(B273&lt;'Умови та класичний графік'!$J$14,-(SUM(M274:V274)),"")</f>
        <v>0</v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>
        <f>IF(B273&lt;'Умови та класичний графік'!$J$14,XIRR($G$34:G274,$C$34:C274,0),"")</f>
        <v>0.25244638183593748</v>
      </c>
      <c r="X274" s="49"/>
      <c r="Y274" s="35"/>
    </row>
    <row r="275" spans="2:25" x14ac:dyDescent="0.2">
      <c r="B275" s="25"/>
      <c r="C275" s="88" t="s">
        <v>25</v>
      </c>
      <c r="D275" s="88"/>
      <c r="E275" s="88"/>
      <c r="F275" s="88"/>
      <c r="G275" s="89">
        <f>SUM(G35:H274)</f>
        <v>44836515.529927388</v>
      </c>
      <c r="H275" s="90"/>
      <c r="I275" s="50" t="s">
        <v>24</v>
      </c>
      <c r="J275" s="50">
        <f>-(SUM(J35:J274))</f>
        <v>9999999.9999999981</v>
      </c>
      <c r="K275" s="50">
        <f>-(SUM(K34:K274))</f>
        <v>33614751.130210489</v>
      </c>
      <c r="L275" s="51">
        <f>-(SUM(L35:L274))+L34</f>
        <v>1461014.3997167202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150000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18500</v>
      </c>
      <c r="T275" s="53">
        <f t="shared" si="7"/>
        <v>0</v>
      </c>
      <c r="U275" s="53">
        <f t="shared" si="7"/>
        <v>1292264.3997167205</v>
      </c>
      <c r="V275" s="53">
        <f t="shared" si="7"/>
        <v>150</v>
      </c>
      <c r="W275" s="43">
        <f>IF(B274&lt;='Умови та класичний графік'!$J$14,XIRR($G$34:G274,$C$34:C274,0),"")</f>
        <v>0.25244638183593748</v>
      </c>
      <c r="X275" s="50">
        <f>K275+L275</f>
        <v>35075765.529927209</v>
      </c>
      <c r="Y275" s="54">
        <f>X275+'Умови та класичний графік'!J13</f>
        <v>45075765.529927209</v>
      </c>
    </row>
    <row r="276" spans="2:25" s="57" customFormat="1" ht="13.7" customHeight="1" x14ac:dyDescent="0.2">
      <c r="B276" s="5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9"/>
      <c r="V276" s="56"/>
    </row>
    <row r="277" spans="2:25" s="57" customFormat="1" x14ac:dyDescent="0.2">
      <c r="B277" s="5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9"/>
      <c r="V277" s="56"/>
    </row>
  </sheetData>
  <sheetProtection algorithmName="SHA-512" hashValue="+mMp37xAZqwgvGNwgevlLeR+Y9zYFdS88E8tyMVRyJ5x59ow+VokUlg5xoYRXLapoyzRY1vNG10jWEpbmHxl7Q==" saltValue="IPh8wfi9QcNd6WQ5Oeg8GA==" spinCount="100000" sheet="1" objects="1" scenarios="1"/>
  <protectedRanges>
    <protectedRange sqref="J11:K13" name="Параметри кредиту_1"/>
  </protectedRanges>
  <mergeCells count="312">
    <mergeCell ref="B3:P6"/>
    <mergeCell ref="B7:M7"/>
    <mergeCell ref="G23:N23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L12:M12"/>
    <mergeCell ref="N12:U12"/>
    <mergeCell ref="G17:I17"/>
    <mergeCell ref="J17:K17"/>
    <mergeCell ref="L17:M17"/>
    <mergeCell ref="N17:U17"/>
    <mergeCell ref="G18:I18"/>
    <mergeCell ref="J18:K18"/>
    <mergeCell ref="L18:M18"/>
    <mergeCell ref="O18:U18"/>
    <mergeCell ref="G15:I15"/>
    <mergeCell ref="J15:K15"/>
    <mergeCell ref="L15:M15"/>
    <mergeCell ref="N15:U15"/>
    <mergeCell ref="G16:I16"/>
    <mergeCell ref="J16:K16"/>
    <mergeCell ref="L16:M16"/>
    <mergeCell ref="N16:U16"/>
    <mergeCell ref="B29:B32"/>
    <mergeCell ref="C29:C32"/>
    <mergeCell ref="D29:E31"/>
    <mergeCell ref="F29:F32"/>
    <mergeCell ref="G29:H32"/>
    <mergeCell ref="G19:I19"/>
    <mergeCell ref="J19:K19"/>
    <mergeCell ref="L19:M19"/>
    <mergeCell ref="O19:U19"/>
    <mergeCell ref="G20:I20"/>
    <mergeCell ref="J20:K20"/>
    <mergeCell ref="L20:M20"/>
    <mergeCell ref="N20:U20"/>
    <mergeCell ref="X29:X32"/>
    <mergeCell ref="Y29:Y32"/>
    <mergeCell ref="J30:J32"/>
    <mergeCell ref="K30:K32"/>
    <mergeCell ref="L30:L32"/>
    <mergeCell ref="M30:V30"/>
    <mergeCell ref="M31:P31"/>
    <mergeCell ref="G21:J21"/>
    <mergeCell ref="G24:N24"/>
    <mergeCell ref="G25:N25"/>
    <mergeCell ref="G26:N26"/>
    <mergeCell ref="G27:N27"/>
    <mergeCell ref="Q31:R31"/>
    <mergeCell ref="S31:V31"/>
    <mergeCell ref="G33:H33"/>
    <mergeCell ref="G34:H34"/>
    <mergeCell ref="G35:H35"/>
    <mergeCell ref="G36:H36"/>
    <mergeCell ref="I29:I32"/>
    <mergeCell ref="J29:V29"/>
    <mergeCell ref="W29:W32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Муравський Дмитро Юрійович</cp:lastModifiedBy>
  <cp:lastPrinted>2020-07-30T07:51:15Z</cp:lastPrinted>
  <dcterms:created xsi:type="dcterms:W3CDTF">2017-10-03T08:15:20Z</dcterms:created>
  <dcterms:modified xsi:type="dcterms:W3CDTF">2021-05-12T12:31:18Z</dcterms:modified>
</cp:coreProperties>
</file>